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GRIS\PENDIDIKAN &amp; PENGAJARAN\KULIAH\3 Beton 1\"/>
    </mc:Choice>
  </mc:AlternateContent>
  <bookViews>
    <workbookView xWindow="-120" yWindow="-120" windowWidth="20730" windowHeight="11160" activeTab="1"/>
  </bookViews>
  <sheets>
    <sheet name="beban-reksi tumpuan-Mmax" sheetId="1" r:id="rId1"/>
    <sheet name="Penulangan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1" l="1"/>
  <c r="D35" i="1" s="1"/>
  <c r="H38" i="1" s="1"/>
  <c r="D45" i="1" s="1"/>
  <c r="K25" i="2"/>
  <c r="D66" i="1"/>
  <c r="H39" i="1"/>
  <c r="K45" i="1" l="1"/>
  <c r="J48" i="1" s="1"/>
  <c r="H44" i="1"/>
  <c r="F25" i="2"/>
  <c r="C12" i="1" l="1"/>
  <c r="Q25" i="2" l="1"/>
  <c r="C11" i="2"/>
  <c r="C10" i="2"/>
  <c r="C9" i="2"/>
  <c r="C7" i="2"/>
  <c r="H70" i="1"/>
  <c r="C83" i="1"/>
  <c r="D77" i="1" l="1"/>
  <c r="D79" i="1" s="1"/>
  <c r="C12" i="2"/>
  <c r="F17" i="2" s="1"/>
  <c r="C13" i="2" l="1"/>
  <c r="H17" i="2" s="1"/>
  <c r="E83" i="1"/>
  <c r="H40" i="1"/>
  <c r="G19" i="1"/>
  <c r="C31" i="1"/>
  <c r="C5" i="2" s="1"/>
  <c r="C8" i="2" l="1"/>
  <c r="G31" i="1" l="1"/>
  <c r="C6" i="2" s="1"/>
  <c r="D49" i="1" l="1"/>
  <c r="E53" i="1"/>
  <c r="S25" i="2"/>
  <c r="M26" i="2"/>
  <c r="M25" i="2"/>
  <c r="K49" i="1" l="1"/>
  <c r="K51" i="1" s="1"/>
  <c r="M52" i="1" s="1"/>
  <c r="C53" i="1"/>
  <c r="D58" i="1"/>
  <c r="D59" i="1" l="1"/>
  <c r="D60" i="1" s="1"/>
  <c r="D61" i="1" s="1"/>
  <c r="D62" i="1" l="1"/>
  <c r="C25" i="2"/>
  <c r="D25" i="2" l="1"/>
  <c r="E25" i="2" s="1"/>
  <c r="G25" i="2" l="1"/>
  <c r="G17" i="2" l="1"/>
  <c r="H25" i="2"/>
  <c r="N25" i="2" s="1"/>
  <c r="R25" i="2" s="1"/>
  <c r="L25" i="2" l="1"/>
</calcChain>
</file>

<file path=xl/sharedStrings.xml><?xml version="1.0" encoding="utf-8"?>
<sst xmlns="http://schemas.openxmlformats.org/spreadsheetml/2006/main" count="199" uniqueCount="145">
  <si>
    <t>SOAL :</t>
  </si>
  <si>
    <t>A</t>
  </si>
  <si>
    <t>B</t>
  </si>
  <si>
    <t>fc =</t>
  </si>
  <si>
    <t>fy =</t>
  </si>
  <si>
    <t>Mpa</t>
  </si>
  <si>
    <r>
      <rPr>
        <sz val="11"/>
        <color theme="1"/>
        <rFont val="Calibri"/>
        <family val="2"/>
      </rPr>
      <t>φ</t>
    </r>
    <r>
      <rPr>
        <sz val="11"/>
        <color theme="1"/>
        <rFont val="Calibri"/>
        <family val="2"/>
        <charset val="1"/>
      </rPr>
      <t xml:space="preserve"> =</t>
    </r>
  </si>
  <si>
    <t>d' =</t>
  </si>
  <si>
    <t>mm</t>
  </si>
  <si>
    <t>Hitung :</t>
  </si>
  <si>
    <t>1. Momen ultimite max</t>
  </si>
  <si>
    <t>2. Dimensi dan Penulangan balok</t>
  </si>
  <si>
    <t>3. Gambar penulangan</t>
  </si>
  <si>
    <t>Penyelesaian</t>
  </si>
  <si>
    <t>a.</t>
  </si>
  <si>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charset val="1"/>
      </rPr>
      <t xml:space="preserve"> M B = 0</t>
    </r>
  </si>
  <si>
    <r>
      <t>Σ</t>
    </r>
    <r>
      <rPr>
        <sz val="11"/>
        <color theme="1"/>
        <rFont val="Calibri"/>
        <family val="2"/>
        <charset val="1"/>
      </rPr>
      <t xml:space="preserve"> M A = 0</t>
    </r>
  </si>
  <si>
    <t>P1</t>
  </si>
  <si>
    <t>P2</t>
  </si>
  <si>
    <t>RA</t>
  </si>
  <si>
    <t>RB</t>
  </si>
  <si>
    <t>Data-data :</t>
  </si>
  <si>
    <t>P1 =</t>
  </si>
  <si>
    <t>P2=</t>
  </si>
  <si>
    <t>ton</t>
  </si>
  <si>
    <t>t/m'</t>
  </si>
  <si>
    <t>1. Dimensi Balok</t>
  </si>
  <si>
    <t>L =</t>
  </si>
  <si>
    <t>m</t>
  </si>
  <si>
    <t>h =</t>
  </si>
  <si>
    <t>b =</t>
  </si>
  <si>
    <t>( 1/2   s.d 2/3 ) h</t>
  </si>
  <si>
    <t>Bj Beton =</t>
  </si>
  <si>
    <t>kg/m3</t>
  </si>
  <si>
    <t>KN/m3</t>
  </si>
  <si>
    <t>berat sendiri balok =</t>
  </si>
  <si>
    <t>b x h x Bj beton</t>
  </si>
  <si>
    <t>kg/m'</t>
  </si>
  <si>
    <t>2. Pembebanan Balok ( Wu )</t>
  </si>
  <si>
    <t>Wu =</t>
  </si>
  <si>
    <t>Wl</t>
  </si>
  <si>
    <t>Wd=</t>
  </si>
  <si>
    <t>Wl=</t>
  </si>
  <si>
    <t>Pu1=</t>
  </si>
  <si>
    <t>Pu2=</t>
  </si>
  <si>
    <t>P1 dan P2 adalah beban mati terpusat</t>
  </si>
  <si>
    <t>1,2 P2</t>
  </si>
  <si>
    <t xml:space="preserve">1,2 P1 </t>
  </si>
  <si>
    <t>Pu1 =</t>
  </si>
  <si>
    <t>Pu2 =</t>
  </si>
  <si>
    <t>ton/m</t>
  </si>
  <si>
    <t>3. Reaksi Tumpuan</t>
  </si>
  <si>
    <t>RA . 4 -(Wu . 4 . 2) - (Pu1 . 2) - (Pu2 . 1) = 0</t>
  </si>
  <si>
    <t>RA  =</t>
  </si>
  <si>
    <t>-RB . 4 +(Wu . 4 . 2) + (Pu1. 2) + (Pu2 . 3) = 0</t>
  </si>
  <si>
    <t>RB =</t>
  </si>
  <si>
    <t xml:space="preserve">Kontrol </t>
  </si>
  <si>
    <t>=</t>
  </si>
  <si>
    <t>RA + RB       =             (Wu* L) + Pu1 + Pu2</t>
  </si>
  <si>
    <t>Gambar Bidang gaya Lintang (Bidang D)</t>
  </si>
  <si>
    <t>4. Momen Maximum terjadi di Pu1</t>
  </si>
  <si>
    <t>M max =</t>
  </si>
  <si>
    <t>M max = RA . 2 -  0,5*Wu*2^2</t>
  </si>
  <si>
    <t>ton.m</t>
  </si>
  <si>
    <t>5. Syarat2 Batas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</si>
  <si>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min =</t>
    </r>
  </si>
  <si>
    <t>1,4 / fy</t>
  </si>
  <si>
    <r>
      <t>β</t>
    </r>
    <r>
      <rPr>
        <b/>
        <vertAlign val="subscript"/>
        <sz val="18"/>
        <color rgb="FF000000"/>
        <rFont val="Arial"/>
        <family val="2"/>
      </rPr>
      <t>1</t>
    </r>
    <r>
      <rPr>
        <b/>
        <vertAlign val="superscript"/>
        <sz val="18"/>
        <color rgb="FF000000"/>
        <rFont val="Arial"/>
        <family val="2"/>
      </rPr>
      <t xml:space="preserve">= 0.85 – ((fc’ – 30)/7)0.05   </t>
    </r>
  </si>
  <si>
    <t xml:space="preserve">β1= 0.85 – ((35 – 30)/7)0.05   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</si>
  <si>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</t>
    </r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</si>
  <si>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b=</t>
    </r>
  </si>
  <si>
    <t>fc &gt; 30 Mpa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</si>
  <si>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max=</t>
    </r>
  </si>
  <si>
    <r>
      <t xml:space="preserve">0,5 *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b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</si>
  <si>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min =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</si>
  <si>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max=</t>
    </r>
  </si>
  <si>
    <t>syarat ==&gt;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</si>
  <si>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</si>
  <si>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t>Mu</t>
  </si>
  <si>
    <t>(N.mm)</t>
  </si>
  <si>
    <t>Mn=</t>
  </si>
  <si>
    <r>
      <t>Mu/</t>
    </r>
    <r>
      <rPr>
        <sz val="11"/>
        <color theme="1"/>
        <rFont val="Symbol"/>
        <family val="1"/>
        <charset val="2"/>
      </rPr>
      <t>f</t>
    </r>
  </si>
  <si>
    <t>Rn =</t>
  </si>
  <si>
    <t>Mn/(b.d^2)</t>
  </si>
  <si>
    <t>(N/mm^2)</t>
  </si>
  <si>
    <t>ANALISA PENULANGAN BALOK</t>
  </si>
  <si>
    <t>Data :</t>
  </si>
  <si>
    <t>d = h-d'=</t>
  </si>
  <si>
    <t>r=</t>
  </si>
  <si>
    <t>1/m (1- (1-(2mRn)/fy)^(1/2)</t>
  </si>
  <si>
    <t>kg.m</t>
  </si>
  <si>
    <t>atau</t>
  </si>
  <si>
    <t>1 kg =</t>
  </si>
  <si>
    <t>N</t>
  </si>
  <si>
    <t>N.m</t>
  </si>
  <si>
    <t>N.mm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</si>
  <si>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=</t>
    </r>
  </si>
  <si>
    <t>m=</t>
  </si>
  <si>
    <t>fy/(0,85.fc)</t>
  </si>
  <si>
    <t>TABEL PENULANGAN</t>
  </si>
  <si>
    <t>fy=</t>
  </si>
  <si>
    <t>MPa</t>
  </si>
  <si>
    <r>
      <t xml:space="preserve">As =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. b.d</t>
    </r>
  </si>
  <si>
    <t>(mm^2)</t>
  </si>
  <si>
    <t>n</t>
  </si>
  <si>
    <t>f</t>
  </si>
  <si>
    <t>At=</t>
  </si>
  <si>
    <t>(bh)</t>
  </si>
  <si>
    <t>At &gt; As</t>
  </si>
  <si>
    <t>(+)</t>
  </si>
  <si>
    <t>Kontrol S =</t>
  </si>
  <si>
    <t>s &gt; = 25 mm</t>
  </si>
  <si>
    <t>p =</t>
  </si>
  <si>
    <t>mm (selimut beton)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</si>
  <si>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sengkang=</t>
    </r>
  </si>
  <si>
    <r>
      <t xml:space="preserve">s= ( b - (2p+2 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skg + n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TP))/(n-1)</t>
    </r>
  </si>
  <si>
    <t xml:space="preserve">As' = </t>
  </si>
  <si>
    <t>0,5 * As</t>
  </si>
  <si>
    <t>Tulangan Tarik</t>
  </si>
  <si>
    <t>(mm)</t>
  </si>
  <si>
    <t>At'=</t>
  </si>
  <si>
    <t>At' &gt; As'</t>
  </si>
  <si>
    <t>Gambar</t>
  </si>
  <si>
    <r>
      <t xml:space="preserve">&lt; 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   &lt;</t>
    </r>
  </si>
  <si>
    <t>Syarat :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</si>
  <si>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</si>
  <si>
    <r>
      <t xml:space="preserve">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</si>
  <si>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r>
      <t xml:space="preserve"> </t>
    </r>
    <r>
      <rPr>
        <b/>
        <sz val="11"/>
        <color theme="1"/>
        <rFont val="Symbol"/>
        <family val="1"/>
        <charset val="2"/>
      </rPr>
      <t>r</t>
    </r>
  </si>
  <si>
    <t>Wbs balok =</t>
  </si>
  <si>
    <t>Wd dan Wl adalah dari beban mati dan beban hidup plat lantai</t>
  </si>
  <si>
    <t>1,2 Wd + 1,6 Wl + 1,2 Wbs</t>
  </si>
  <si>
    <t>ton/m'</t>
  </si>
  <si>
    <r>
      <t xml:space="preserve">Kalau fc' &lt; atau = 30 , maka 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 0,85</t>
    </r>
  </si>
  <si>
    <t>Wd (belum termasuk berat sendiri balok)</t>
  </si>
  <si>
    <t>BALOK</t>
  </si>
  <si>
    <t>2,00 m</t>
  </si>
  <si>
    <t>1,00 m</t>
  </si>
  <si>
    <t>Balok A-B</t>
  </si>
  <si>
    <t>L= 4,00 m</t>
  </si>
  <si>
    <t>Tulangan Tekan</t>
  </si>
  <si>
    <t>Dipakai Tul</t>
  </si>
  <si>
    <t>(1/8   s.d   1/16) L</t>
  </si>
  <si>
    <t>Pu1</t>
  </si>
  <si>
    <t>Pu2</t>
  </si>
  <si>
    <t>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</si>
</sst>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0.0000"/>
    <numFmt numFmtId="166" formatCode="0.00000"/>
    <numFmt numFmtId="167" formatCode="0.00.E+00"/>
    <numFmt numFmtId="168" formatCode="0.000E+00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b/>
      <vertAlign val="superscript"/>
      <sz val="18"/>
      <color rgb="FF000000"/>
      <name val="Arial"/>
      <family val="2"/>
    </font>
    <font>
      <b/>
      <vertAlign val="subscript"/>
      <sz val="18"/>
      <color rgb="FF000000"/>
      <name val="Arial"/>
      <family val="2"/>
    </font>
    <font>
      <sz val="16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164" fontId="0" fillId="0" borderId="0" xfId="1" applyNumberFormat="1" applyFont="1" applyAlignment="1">
      <alignment horizontal="center"/>
    </xf>
    <xf numFmtId="0" fontId="4" fillId="0" borderId="1" xfId="0" applyFont="1" applyBorder="1"/>
    <xf numFmtId="43" fontId="0" fillId="0" borderId="0" xfId="0" applyNumberFormat="1"/>
    <xf numFmtId="0" fontId="2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/>
    <xf numFmtId="166" fontId="8" fillId="0" borderId="0" xfId="0" applyNumberFormat="1" applyFont="1"/>
    <xf numFmtId="0" fontId="8" fillId="0" borderId="0" xfId="0" applyFont="1"/>
    <xf numFmtId="0" fontId="9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167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0" xfId="0" applyNumberForma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8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0" fillId="0" borderId="0" xfId="0" applyNumberFormat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4</xdr:row>
      <xdr:rowOff>66675</xdr:rowOff>
    </xdr:from>
    <xdr:to>
      <xdr:col>5</xdr:col>
      <xdr:colOff>628650</xdr:colOff>
      <xdr:row>4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8250" y="828675"/>
          <a:ext cx="26003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0</xdr:colOff>
      <xdr:row>2</xdr:row>
      <xdr:rowOff>76200</xdr:rowOff>
    </xdr:from>
    <xdr:to>
      <xdr:col>4</xdr:col>
      <xdr:colOff>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4669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</xdr:row>
      <xdr:rowOff>76200</xdr:rowOff>
    </xdr:from>
    <xdr:to>
      <xdr:col>5</xdr:col>
      <xdr:colOff>0</xdr:colOff>
      <xdr:row>4</xdr:row>
      <xdr:rowOff>57150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0765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5</xdr:row>
      <xdr:rowOff>171450</xdr:rowOff>
    </xdr:from>
    <xdr:to>
      <xdr:col>2</xdr:col>
      <xdr:colOff>0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9675" y="11239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9</xdr:row>
      <xdr:rowOff>0</xdr:rowOff>
    </xdr:from>
    <xdr:to>
      <xdr:col>6</xdr:col>
      <xdr:colOff>95250</xdr:colOff>
      <xdr:row>9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4900" y="1714500"/>
          <a:ext cx="2647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8</xdr:row>
      <xdr:rowOff>28575</xdr:rowOff>
    </xdr:from>
    <xdr:to>
      <xdr:col>1</xdr:col>
      <xdr:colOff>600075</xdr:colOff>
      <xdr:row>9</xdr:row>
      <xdr:rowOff>104775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9675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9</xdr:row>
      <xdr:rowOff>76200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466975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0</xdr:rowOff>
    </xdr:from>
    <xdr:to>
      <xdr:col>5</xdr:col>
      <xdr:colOff>9525</xdr:colOff>
      <xdr:row>9</xdr:row>
      <xdr:rowOff>76200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0861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0</xdr:colOff>
      <xdr:row>9</xdr:row>
      <xdr:rowOff>76200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6576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37</xdr:row>
      <xdr:rowOff>95250</xdr:rowOff>
    </xdr:from>
    <xdr:to>
      <xdr:col>5</xdr:col>
      <xdr:colOff>533400</xdr:colOff>
      <xdr:row>37</xdr:row>
      <xdr:rowOff>104775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133725" y="6762750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104775</xdr:rowOff>
    </xdr:from>
    <xdr:to>
      <xdr:col>5</xdr:col>
      <xdr:colOff>523875</xdr:colOff>
      <xdr:row>38</xdr:row>
      <xdr:rowOff>114300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3124200" y="696277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39</xdr:row>
      <xdr:rowOff>123825</xdr:rowOff>
    </xdr:from>
    <xdr:to>
      <xdr:col>5</xdr:col>
      <xdr:colOff>552450</xdr:colOff>
      <xdr:row>39</xdr:row>
      <xdr:rowOff>133350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3152775" y="717232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638175</xdr:colOff>
      <xdr:row>6</xdr:row>
      <xdr:rowOff>9525</xdr:rowOff>
    </xdr:from>
    <xdr:to>
      <xdr:col>5</xdr:col>
      <xdr:colOff>647700</xdr:colOff>
      <xdr:row>7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81475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133350</xdr:rowOff>
    </xdr:from>
    <xdr:to>
      <xdr:col>10</xdr:col>
      <xdr:colOff>9525</xdr:colOff>
      <xdr:row>44</xdr:row>
      <xdr:rowOff>123825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086350" y="7943850"/>
          <a:ext cx="1228725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47</xdr:row>
      <xdr:rowOff>38100</xdr:rowOff>
    </xdr:from>
    <xdr:to>
      <xdr:col>11</xdr:col>
      <xdr:colOff>9525</xdr:colOff>
      <xdr:row>48</xdr:row>
      <xdr:rowOff>28575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6315075" y="8610600"/>
          <a:ext cx="6096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50</xdr:row>
      <xdr:rowOff>0</xdr:rowOff>
    </xdr:from>
    <xdr:to>
      <xdr:col>12</xdr:col>
      <xdr:colOff>0</xdr:colOff>
      <xdr:row>50</xdr:row>
      <xdr:rowOff>180975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6915150" y="9144000"/>
          <a:ext cx="6096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600075</xdr:colOff>
      <xdr:row>45</xdr:row>
      <xdr:rowOff>180975</xdr:rowOff>
    </xdr:from>
    <xdr:to>
      <xdr:col>12</xdr:col>
      <xdr:colOff>0</xdr:colOff>
      <xdr:row>51</xdr:row>
      <xdr:rowOff>19050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7515225" y="8372475"/>
          <a:ext cx="9525" cy="981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152400</xdr:rowOff>
    </xdr:from>
    <xdr:to>
      <xdr:col>8</xdr:col>
      <xdr:colOff>9525</xdr:colOff>
      <xdr:row>45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5086350" y="7962900"/>
          <a:ext cx="952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44</xdr:row>
      <xdr:rowOff>114300</xdr:rowOff>
    </xdr:from>
    <xdr:to>
      <xdr:col>10</xdr:col>
      <xdr:colOff>19050</xdr:colOff>
      <xdr:row>47</xdr:row>
      <xdr:rowOff>28575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315075" y="8115300"/>
          <a:ext cx="9525" cy="4857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48</xdr:row>
      <xdr:rowOff>19050</xdr:rowOff>
    </xdr:from>
    <xdr:to>
      <xdr:col>11</xdr:col>
      <xdr:colOff>9525</xdr:colOff>
      <xdr:row>50</xdr:row>
      <xdr:rowOff>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6915150" y="87820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73</xdr:row>
          <xdr:rowOff>0</xdr:rowOff>
        </xdr:from>
        <xdr:to>
          <xdr:col>5</xdr:col>
          <xdr:colOff>381000</xdr:colOff>
          <xdr:row>75</xdr:row>
          <xdr:rowOff>9525</xdr:rowOff>
        </xdr:to>
        <xdr:sp macro="" textlink="">
          <xdr:nvSpPr>
            <xdr:cNvPr id="1026" name="Object 86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590550</xdr:colOff>
      <xdr:row>67</xdr:row>
      <xdr:rowOff>180975</xdr:rowOff>
    </xdr:from>
    <xdr:to>
      <xdr:col>5</xdr:col>
      <xdr:colOff>581025</xdr:colOff>
      <xdr:row>67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190875" y="11801475"/>
          <a:ext cx="6000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57</xdr:row>
      <xdr:rowOff>76200</xdr:rowOff>
    </xdr:from>
    <xdr:to>
      <xdr:col>5</xdr:col>
      <xdr:colOff>361950</xdr:colOff>
      <xdr:row>60</xdr:row>
      <xdr:rowOff>142875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33750" y="10553700"/>
          <a:ext cx="238125" cy="638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609600</xdr:colOff>
      <xdr:row>14</xdr:row>
      <xdr:rowOff>19050</xdr:rowOff>
    </xdr:from>
    <xdr:to>
      <xdr:col>3</xdr:col>
      <xdr:colOff>781050</xdr:colOff>
      <xdr:row>15</xdr:row>
      <xdr:rowOff>152400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86025" y="2686050"/>
          <a:ext cx="171450" cy="3238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276225</xdr:colOff>
      <xdr:row>2</xdr:row>
      <xdr:rowOff>148243</xdr:rowOff>
    </xdr:from>
    <xdr:to>
      <xdr:col>5</xdr:col>
      <xdr:colOff>600075</xdr:colOff>
      <xdr:row>4</xdr:row>
      <xdr:rowOff>114300</xdr:rowOff>
    </xdr:to>
    <xdr:sp macro="" textlink="">
      <xdr:nvSpPr>
        <xdr:cNvPr id="2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9525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390525</xdr:colOff>
      <xdr:row>3</xdr:row>
      <xdr:rowOff>95197</xdr:rowOff>
    </xdr:from>
    <xdr:to>
      <xdr:col>5</xdr:col>
      <xdr:colOff>609600</xdr:colOff>
      <xdr:row>4</xdr:row>
      <xdr:rowOff>114300</xdr:rowOff>
    </xdr:to>
    <xdr:sp macro="" textlink="">
      <xdr:nvSpPr>
        <xdr:cNvPr id="24" name="Bentuk Bebas: Bentu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933825" y="666697"/>
          <a:ext cx="219075" cy="209603"/>
        </a:xfrm>
        <a:custGeom>
          <a:avLst/>
          <a:gdLst>
            <a:gd name="connsiteX0" fmla="*/ 0 w 219075"/>
            <a:gd name="connsiteY0" fmla="*/ 209603 h 209603"/>
            <a:gd name="connsiteX1" fmla="*/ 28575 w 219075"/>
            <a:gd name="connsiteY1" fmla="*/ 161978 h 209603"/>
            <a:gd name="connsiteX2" fmla="*/ 38100 w 219075"/>
            <a:gd name="connsiteY2" fmla="*/ 133403 h 209603"/>
            <a:gd name="connsiteX3" fmla="*/ 57150 w 219075"/>
            <a:gd name="connsiteY3" fmla="*/ 104828 h 209603"/>
            <a:gd name="connsiteX4" fmla="*/ 66675 w 219075"/>
            <a:gd name="connsiteY4" fmla="*/ 76253 h 209603"/>
            <a:gd name="connsiteX5" fmla="*/ 85725 w 219075"/>
            <a:gd name="connsiteY5" fmla="*/ 47678 h 209603"/>
            <a:gd name="connsiteX6" fmla="*/ 95250 w 219075"/>
            <a:gd name="connsiteY6" fmla="*/ 19103 h 209603"/>
            <a:gd name="connsiteX7" fmla="*/ 123825 w 219075"/>
            <a:gd name="connsiteY7" fmla="*/ 9578 h 209603"/>
            <a:gd name="connsiteX8" fmla="*/ 219075 w 219075"/>
            <a:gd name="connsiteY8" fmla="*/ 53 h 2096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19075" h="209603">
              <a:moveTo>
                <a:pt x="0" y="209603"/>
              </a:moveTo>
              <a:cubicBezTo>
                <a:pt x="9525" y="193728"/>
                <a:pt x="20296" y="178537"/>
                <a:pt x="28575" y="161978"/>
              </a:cubicBezTo>
              <a:cubicBezTo>
                <a:pt x="33065" y="152998"/>
                <a:pt x="33610" y="142383"/>
                <a:pt x="38100" y="133403"/>
              </a:cubicBezTo>
              <a:cubicBezTo>
                <a:pt x="43220" y="123164"/>
                <a:pt x="52030" y="115067"/>
                <a:pt x="57150" y="104828"/>
              </a:cubicBezTo>
              <a:cubicBezTo>
                <a:pt x="61640" y="95848"/>
                <a:pt x="62185" y="85233"/>
                <a:pt x="66675" y="76253"/>
              </a:cubicBezTo>
              <a:cubicBezTo>
                <a:pt x="71795" y="66014"/>
                <a:pt x="80605" y="57917"/>
                <a:pt x="85725" y="47678"/>
              </a:cubicBezTo>
              <a:cubicBezTo>
                <a:pt x="90215" y="38698"/>
                <a:pt x="88150" y="26203"/>
                <a:pt x="95250" y="19103"/>
              </a:cubicBezTo>
              <a:cubicBezTo>
                <a:pt x="102350" y="12003"/>
                <a:pt x="113980" y="11547"/>
                <a:pt x="123825" y="9578"/>
              </a:cubicBezTo>
              <a:cubicBezTo>
                <a:pt x="178185" y="-1294"/>
                <a:pt x="177275" y="53"/>
                <a:pt x="219075" y="53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190500</xdr:colOff>
      <xdr:row>53</xdr:row>
      <xdr:rowOff>0</xdr:rowOff>
    </xdr:from>
    <xdr:to>
      <xdr:col>12</xdr:col>
      <xdr:colOff>333375</xdr:colOff>
      <xdr:row>53</xdr:row>
      <xdr:rowOff>9525</xdr:rowOff>
    </xdr:to>
    <xdr:cxnSp macro="">
      <xdr:nvCxnSpPr>
        <xdr:cNvPr id="32" name="Straight Connector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5000625" y="10096500"/>
          <a:ext cx="3190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66675</xdr:rowOff>
    </xdr:from>
    <xdr:to>
      <xdr:col>8</xdr:col>
      <xdr:colOff>0</xdr:colOff>
      <xdr:row>53</xdr:row>
      <xdr:rowOff>142875</xdr:rowOff>
    </xdr:to>
    <xdr:cxnSp macro="">
      <xdr:nvCxnSpPr>
        <xdr:cNvPr id="36" name="Straight Connector 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5419725" y="99726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52</xdr:row>
      <xdr:rowOff>57150</xdr:rowOff>
    </xdr:from>
    <xdr:to>
      <xdr:col>10</xdr:col>
      <xdr:colOff>0</xdr:colOff>
      <xdr:row>53</xdr:row>
      <xdr:rowOff>133350</xdr:rowOff>
    </xdr:to>
    <xdr:cxnSp macro="">
      <xdr:nvCxnSpPr>
        <xdr:cNvPr id="37" name="Straight Connector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6638925" y="996315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52</xdr:row>
      <xdr:rowOff>76200</xdr:rowOff>
    </xdr:from>
    <xdr:to>
      <xdr:col>11</xdr:col>
      <xdr:colOff>0</xdr:colOff>
      <xdr:row>53</xdr:row>
      <xdr:rowOff>152400</xdr:rowOff>
    </xdr:to>
    <xdr:cxnSp macro="">
      <xdr:nvCxnSpPr>
        <xdr:cNvPr id="39" name="Straight Connector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7248525" y="99822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52</xdr:row>
      <xdr:rowOff>85725</xdr:rowOff>
    </xdr:from>
    <xdr:to>
      <xdr:col>12</xdr:col>
      <xdr:colOff>0</xdr:colOff>
      <xdr:row>53</xdr:row>
      <xdr:rowOff>161925</xdr:rowOff>
    </xdr:to>
    <xdr:cxnSp macro="">
      <xdr:nvCxnSpPr>
        <xdr:cNvPr id="41" name="Straight Connector 1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7858125" y="999172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409575</xdr:colOff>
      <xdr:row>44</xdr:row>
      <xdr:rowOff>28575</xdr:rowOff>
    </xdr:from>
    <xdr:ext cx="254942" cy="264560"/>
    <xdr:sp macro="" textlink="">
      <xdr:nvSpPr>
        <xdr:cNvPr id="26" name="Kotak Tek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829300" y="8410575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+</a:t>
          </a:r>
        </a:p>
      </xdr:txBody>
    </xdr:sp>
    <xdr:clientData/>
  </xdr:oneCellAnchor>
  <xdr:oneCellAnchor>
    <xdr:from>
      <xdr:col>11</xdr:col>
      <xdr:colOff>180975</xdr:colOff>
      <xdr:row>47</xdr:row>
      <xdr:rowOff>0</xdr:rowOff>
    </xdr:from>
    <xdr:ext cx="227883" cy="264560"/>
    <xdr:sp macro="" textlink="">
      <xdr:nvSpPr>
        <xdr:cNvPr id="43" name="Kotak Tek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429500" y="895350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-</a:t>
          </a:r>
        </a:p>
      </xdr:txBody>
    </xdr:sp>
    <xdr:clientData/>
  </xdr:oneCellAnchor>
  <xdr:twoCellAnchor>
    <xdr:from>
      <xdr:col>1</xdr:col>
      <xdr:colOff>581025</xdr:colOff>
      <xdr:row>5</xdr:row>
      <xdr:rowOff>19050</xdr:rowOff>
    </xdr:from>
    <xdr:to>
      <xdr:col>2</xdr:col>
      <xdr:colOff>66675</xdr:colOff>
      <xdr:row>5</xdr:row>
      <xdr:rowOff>114300</xdr:rowOff>
    </xdr:to>
    <xdr:sp macro="" textlink="">
      <xdr:nvSpPr>
        <xdr:cNvPr id="28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90625" y="971550"/>
          <a:ext cx="95250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609600</xdr:colOff>
      <xdr:row>4</xdr:row>
      <xdr:rowOff>180975</xdr:rowOff>
    </xdr:from>
    <xdr:to>
      <xdr:col>6</xdr:col>
      <xdr:colOff>38100</xdr:colOff>
      <xdr:row>5</xdr:row>
      <xdr:rowOff>76200</xdr:rowOff>
    </xdr:to>
    <xdr:sp macro="" textlink="">
      <xdr:nvSpPr>
        <xdr:cNvPr id="29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52900" y="942975"/>
          <a:ext cx="85725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628650</xdr:colOff>
      <xdr:row>5</xdr:row>
      <xdr:rowOff>114300</xdr:rowOff>
    </xdr:from>
    <xdr:to>
      <xdr:col>6</xdr:col>
      <xdr:colOff>19050</xdr:colOff>
      <xdr:row>5</xdr:row>
      <xdr:rowOff>160019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71950" y="1066800"/>
          <a:ext cx="4762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10</xdr:col>
      <xdr:colOff>19050</xdr:colOff>
      <xdr:row>35</xdr:row>
      <xdr:rowOff>66675</xdr:rowOff>
    </xdr:from>
    <xdr:to>
      <xdr:col>13</xdr:col>
      <xdr:colOff>628650</xdr:colOff>
      <xdr:row>35</xdr:row>
      <xdr:rowOff>161925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5319" y="828675"/>
          <a:ext cx="293223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12</xdr:col>
      <xdr:colOff>0</xdr:colOff>
      <xdr:row>33</xdr:row>
      <xdr:rowOff>76200</xdr:rowOff>
    </xdr:from>
    <xdr:to>
      <xdr:col>12</xdr:col>
      <xdr:colOff>0</xdr:colOff>
      <xdr:row>35</xdr:row>
      <xdr:rowOff>57150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930769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33</xdr:row>
      <xdr:rowOff>76200</xdr:rowOff>
    </xdr:from>
    <xdr:to>
      <xdr:col>13</xdr:col>
      <xdr:colOff>0</xdr:colOff>
      <xdr:row>35</xdr:row>
      <xdr:rowOff>57150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538904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36</xdr:row>
      <xdr:rowOff>171450</xdr:rowOff>
    </xdr:from>
    <xdr:to>
      <xdr:col>10</xdr:col>
      <xdr:colOff>0</xdr:colOff>
      <xdr:row>38</xdr:row>
      <xdr:rowOff>152400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8210" y="1123950"/>
          <a:ext cx="8059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40</xdr:row>
      <xdr:rowOff>0</xdr:rowOff>
    </xdr:from>
    <xdr:to>
      <xdr:col>14</xdr:col>
      <xdr:colOff>95250</xdr:colOff>
      <xdr:row>40</xdr:row>
      <xdr:rowOff>9525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3435" y="1714500"/>
          <a:ext cx="319014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39</xdr:row>
      <xdr:rowOff>28575</xdr:rowOff>
    </xdr:from>
    <xdr:to>
      <xdr:col>9</xdr:col>
      <xdr:colOff>600075</xdr:colOff>
      <xdr:row>40</xdr:row>
      <xdr:rowOff>104775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8210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39</xdr:row>
      <xdr:rowOff>0</xdr:rowOff>
    </xdr:from>
    <xdr:to>
      <xdr:col>12</xdr:col>
      <xdr:colOff>0</xdr:colOff>
      <xdr:row>40</xdr:row>
      <xdr:rowOff>76200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930769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39</xdr:row>
      <xdr:rowOff>0</xdr:rowOff>
    </xdr:from>
    <xdr:to>
      <xdr:col>13</xdr:col>
      <xdr:colOff>9525</xdr:colOff>
      <xdr:row>40</xdr:row>
      <xdr:rowOff>76200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548429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39</xdr:row>
      <xdr:rowOff>0</xdr:rowOff>
    </xdr:from>
    <xdr:to>
      <xdr:col>14</xdr:col>
      <xdr:colOff>0</xdr:colOff>
      <xdr:row>40</xdr:row>
      <xdr:rowOff>76200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198327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638175</xdr:colOff>
      <xdr:row>37</xdr:row>
      <xdr:rowOff>9525</xdr:rowOff>
    </xdr:from>
    <xdr:to>
      <xdr:col>13</xdr:col>
      <xdr:colOff>647700</xdr:colOff>
      <xdr:row>38</xdr:row>
      <xdr:rowOff>180975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77079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33</xdr:row>
      <xdr:rowOff>148243</xdr:rowOff>
    </xdr:from>
    <xdr:to>
      <xdr:col>13</xdr:col>
      <xdr:colOff>600075</xdr:colOff>
      <xdr:row>35</xdr:row>
      <xdr:rowOff>114300</xdr:rowOff>
    </xdr:to>
    <xdr:sp macro="" textlink="">
      <xdr:nvSpPr>
        <xdr:cNvPr id="5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5129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9</xdr:col>
      <xdr:colOff>581025</xdr:colOff>
      <xdr:row>36</xdr:row>
      <xdr:rowOff>19050</xdr:rowOff>
    </xdr:from>
    <xdr:to>
      <xdr:col>10</xdr:col>
      <xdr:colOff>66675</xdr:colOff>
      <xdr:row>36</xdr:row>
      <xdr:rowOff>114300</xdr:rowOff>
    </xdr:to>
    <xdr:sp macro="" textlink="">
      <xdr:nvSpPr>
        <xdr:cNvPr id="54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89160" y="971550"/>
          <a:ext cx="93784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13</xdr:col>
      <xdr:colOff>609600</xdr:colOff>
      <xdr:row>35</xdr:row>
      <xdr:rowOff>180975</xdr:rowOff>
    </xdr:from>
    <xdr:to>
      <xdr:col>14</xdr:col>
      <xdr:colOff>38100</xdr:colOff>
      <xdr:row>36</xdr:row>
      <xdr:rowOff>76200</xdr:rowOff>
    </xdr:to>
    <xdr:sp macro="" textlink="">
      <xdr:nvSpPr>
        <xdr:cNvPr id="55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48504" y="942975"/>
          <a:ext cx="87923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13</xdr:col>
      <xdr:colOff>628650</xdr:colOff>
      <xdr:row>36</xdr:row>
      <xdr:rowOff>114300</xdr:rowOff>
    </xdr:from>
    <xdr:to>
      <xdr:col>14</xdr:col>
      <xdr:colOff>19050</xdr:colOff>
      <xdr:row>36</xdr:row>
      <xdr:rowOff>160019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67554" y="1066800"/>
          <a:ext cx="49823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600807</xdr:colOff>
      <xdr:row>36</xdr:row>
      <xdr:rowOff>0</xdr:rowOff>
    </xdr:from>
    <xdr:to>
      <xdr:col>8</xdr:col>
      <xdr:colOff>586154</xdr:colOff>
      <xdr:row>40</xdr:row>
      <xdr:rowOff>161192</xdr:rowOff>
    </xdr:to>
    <xdr:sp macro="" textlink="">
      <xdr:nvSpPr>
        <xdr:cNvPr id="17" name="Oval 16"/>
        <xdr:cNvSpPr/>
      </xdr:nvSpPr>
      <xdr:spPr>
        <a:xfrm>
          <a:off x="4139711" y="6858000"/>
          <a:ext cx="1861039" cy="92319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</xdr:row>
          <xdr:rowOff>238125</xdr:rowOff>
        </xdr:from>
        <xdr:to>
          <xdr:col>6</xdr:col>
          <xdr:colOff>1438275</xdr:colOff>
          <xdr:row>9</xdr:row>
          <xdr:rowOff>133350</xdr:rowOff>
        </xdr:to>
        <xdr:sp macro="" textlink="">
          <xdr:nvSpPr>
            <xdr:cNvPr id="2050" name="Object 14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447675</xdr:colOff>
      <xdr:row>23</xdr:row>
      <xdr:rowOff>76200</xdr:rowOff>
    </xdr:from>
    <xdr:to>
      <xdr:col>19</xdr:col>
      <xdr:colOff>971550</xdr:colOff>
      <xdr:row>26</xdr:row>
      <xdr:rowOff>361950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182975" y="4572000"/>
          <a:ext cx="523875" cy="866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26</xdr:row>
      <xdr:rowOff>200025</xdr:rowOff>
    </xdr:from>
    <xdr:to>
      <xdr:col>19</xdr:col>
      <xdr:colOff>609600</xdr:colOff>
      <xdr:row>26</xdr:row>
      <xdr:rowOff>295275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2877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26</xdr:row>
      <xdr:rowOff>47625</xdr:rowOff>
    </xdr:from>
    <xdr:to>
      <xdr:col>19</xdr:col>
      <xdr:colOff>609600</xdr:colOff>
      <xdr:row>26</xdr:row>
      <xdr:rowOff>142875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6287750" y="51244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704850</xdr:colOff>
      <xdr:row>26</xdr:row>
      <xdr:rowOff>200025</xdr:rowOff>
    </xdr:from>
    <xdr:to>
      <xdr:col>19</xdr:col>
      <xdr:colOff>762000</xdr:colOff>
      <xdr:row>26</xdr:row>
      <xdr:rowOff>295275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4401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200025</xdr:rowOff>
    </xdr:from>
    <xdr:to>
      <xdr:col>19</xdr:col>
      <xdr:colOff>904875</xdr:colOff>
      <xdr:row>26</xdr:row>
      <xdr:rowOff>295275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583025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695325</xdr:colOff>
      <xdr:row>23</xdr:row>
      <xdr:rowOff>152400</xdr:rowOff>
    </xdr:from>
    <xdr:to>
      <xdr:col>19</xdr:col>
      <xdr:colOff>752475</xdr:colOff>
      <xdr:row>24</xdr:row>
      <xdr:rowOff>47625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6430625" y="46482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38100</xdr:rowOff>
    </xdr:from>
    <xdr:to>
      <xdr:col>19</xdr:col>
      <xdr:colOff>904875</xdr:colOff>
      <xdr:row>26</xdr:row>
      <xdr:rowOff>133350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583025" y="511492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838200</xdr:colOff>
      <xdr:row>23</xdr:row>
      <xdr:rowOff>152400</xdr:rowOff>
    </xdr:from>
    <xdr:to>
      <xdr:col>19</xdr:col>
      <xdr:colOff>895350</xdr:colOff>
      <xdr:row>24</xdr:row>
      <xdr:rowOff>47625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6573500" y="46482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23</xdr:row>
      <xdr:rowOff>142875</xdr:rowOff>
    </xdr:from>
    <xdr:to>
      <xdr:col>19</xdr:col>
      <xdr:colOff>609600</xdr:colOff>
      <xdr:row>24</xdr:row>
      <xdr:rowOff>38100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6287750" y="463867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oneCellAnchor>
    <xdr:from>
      <xdr:col>19</xdr:col>
      <xdr:colOff>923925</xdr:colOff>
      <xdr:row>23</xdr:row>
      <xdr:rowOff>38100</xdr:rowOff>
    </xdr:from>
    <xdr:ext cx="561244" cy="264560"/>
    <xdr:sp macro="" textlink="">
      <xdr:nvSpPr>
        <xdr:cNvPr id="2" name="Kotak Tek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659225" y="45339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3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oneCellAnchor>
    <xdr:from>
      <xdr:col>19</xdr:col>
      <xdr:colOff>952500</xdr:colOff>
      <xdr:row>26</xdr:row>
      <xdr:rowOff>57150</xdr:rowOff>
    </xdr:from>
    <xdr:ext cx="561244" cy="264560"/>
    <xdr:sp macro="" textlink="">
      <xdr:nvSpPr>
        <xdr:cNvPr id="13" name="Kotak Teks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6687800" y="5133975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twoCellAnchor>
    <xdr:from>
      <xdr:col>6</xdr:col>
      <xdr:colOff>295275</xdr:colOff>
      <xdr:row>23</xdr:row>
      <xdr:rowOff>66675</xdr:rowOff>
    </xdr:from>
    <xdr:to>
      <xdr:col>6</xdr:col>
      <xdr:colOff>1590675</xdr:colOff>
      <xdr:row>26</xdr:row>
      <xdr:rowOff>85725</xdr:rowOff>
    </xdr:to>
    <xdr:sp macro="" textlink="">
      <xdr:nvSpPr>
        <xdr:cNvPr id="5" name="Oval 4"/>
        <xdr:cNvSpPr/>
      </xdr:nvSpPr>
      <xdr:spPr>
        <a:xfrm>
          <a:off x="4552950" y="4562475"/>
          <a:ext cx="1295400" cy="600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O83"/>
  <sheetViews>
    <sheetView topLeftCell="A22" zoomScale="130" zoomScaleNormal="130" workbookViewId="0">
      <selection activeCell="C31" sqref="C31"/>
    </sheetView>
  </sheetViews>
  <sheetFormatPr defaultRowHeight="15" x14ac:dyDescent="0.25"/>
  <cols>
    <col min="3" max="3" width="9.85546875" customWidth="1"/>
    <col min="4" max="4" width="15.85546875" customWidth="1"/>
    <col min="6" max="6" width="9.85546875" customWidth="1"/>
  </cols>
  <sheetData>
    <row r="2" spans="2:7" x14ac:dyDescent="0.25">
      <c r="B2" s="8" t="s">
        <v>0</v>
      </c>
      <c r="D2" s="5" t="s">
        <v>17</v>
      </c>
      <c r="E2" s="5" t="s">
        <v>18</v>
      </c>
    </row>
    <row r="3" spans="2:7" x14ac:dyDescent="0.25">
      <c r="G3" t="s">
        <v>133</v>
      </c>
    </row>
    <row r="4" spans="2:7" x14ac:dyDescent="0.25">
      <c r="G4" t="s">
        <v>40</v>
      </c>
    </row>
    <row r="5" spans="2:7" x14ac:dyDescent="0.25">
      <c r="B5" s="5" t="s">
        <v>1</v>
      </c>
      <c r="C5" s="1"/>
      <c r="D5" s="1"/>
      <c r="E5" s="1"/>
      <c r="F5" s="1"/>
      <c r="G5" t="s">
        <v>2</v>
      </c>
    </row>
    <row r="7" spans="2:7" x14ac:dyDescent="0.25">
      <c r="B7" s="5" t="s">
        <v>19</v>
      </c>
      <c r="G7" t="s">
        <v>20</v>
      </c>
    </row>
    <row r="9" spans="2:7" x14ac:dyDescent="0.25">
      <c r="C9">
        <v>2</v>
      </c>
      <c r="E9" s="4">
        <v>1</v>
      </c>
      <c r="F9" s="4">
        <v>1</v>
      </c>
    </row>
    <row r="11" spans="2:7" x14ac:dyDescent="0.25">
      <c r="B11" t="s">
        <v>21</v>
      </c>
    </row>
    <row r="12" spans="2:7" x14ac:dyDescent="0.25">
      <c r="B12" t="s">
        <v>27</v>
      </c>
      <c r="C12">
        <f>C9+E9+F9</f>
        <v>4</v>
      </c>
      <c r="D12" t="s">
        <v>28</v>
      </c>
    </row>
    <row r="13" spans="2:7" x14ac:dyDescent="0.25">
      <c r="B13" t="s">
        <v>22</v>
      </c>
      <c r="C13">
        <v>3</v>
      </c>
      <c r="D13" t="s">
        <v>24</v>
      </c>
      <c r="F13" t="s">
        <v>45</v>
      </c>
    </row>
    <row r="14" spans="2:7" x14ac:dyDescent="0.25">
      <c r="B14" t="s">
        <v>23</v>
      </c>
      <c r="C14">
        <v>4</v>
      </c>
      <c r="D14" t="s">
        <v>24</v>
      </c>
    </row>
    <row r="15" spans="2:7" x14ac:dyDescent="0.25">
      <c r="B15" t="s">
        <v>41</v>
      </c>
      <c r="C15">
        <v>2</v>
      </c>
      <c r="D15" t="s">
        <v>25</v>
      </c>
      <c r="E15" t="s">
        <v>129</v>
      </c>
    </row>
    <row r="16" spans="2:7" x14ac:dyDescent="0.25">
      <c r="B16" t="s">
        <v>42</v>
      </c>
      <c r="C16">
        <v>1</v>
      </c>
      <c r="D16" t="s">
        <v>25</v>
      </c>
    </row>
    <row r="17" spans="2:8" x14ac:dyDescent="0.25">
      <c r="B17" t="s">
        <v>3</v>
      </c>
      <c r="C17">
        <v>35</v>
      </c>
      <c r="D17" t="s">
        <v>5</v>
      </c>
    </row>
    <row r="18" spans="2:8" x14ac:dyDescent="0.25">
      <c r="B18" t="s">
        <v>4</v>
      </c>
      <c r="C18">
        <v>250</v>
      </c>
      <c r="D18" t="s">
        <v>5</v>
      </c>
      <c r="F18" t="s">
        <v>32</v>
      </c>
      <c r="G18" s="4">
        <v>2400</v>
      </c>
      <c r="H18" t="s">
        <v>33</v>
      </c>
    </row>
    <row r="19" spans="2:8" x14ac:dyDescent="0.25">
      <c r="B19" s="2" t="s">
        <v>6</v>
      </c>
      <c r="C19">
        <v>0.8</v>
      </c>
      <c r="G19" s="4">
        <f>G18/100</f>
        <v>24</v>
      </c>
      <c r="H19" t="s">
        <v>34</v>
      </c>
    </row>
    <row r="20" spans="2:8" x14ac:dyDescent="0.25">
      <c r="B20" t="s">
        <v>7</v>
      </c>
      <c r="C20">
        <v>50</v>
      </c>
      <c r="D20" t="s">
        <v>8</v>
      </c>
    </row>
    <row r="23" spans="2:8" x14ac:dyDescent="0.25">
      <c r="B23" s="7" t="s">
        <v>9</v>
      </c>
      <c r="C23" t="s">
        <v>10</v>
      </c>
    </row>
    <row r="24" spans="2:8" x14ac:dyDescent="0.25">
      <c r="C24" s="3" t="s">
        <v>11</v>
      </c>
    </row>
    <row r="25" spans="2:8" x14ac:dyDescent="0.25">
      <c r="C25" s="3" t="s">
        <v>12</v>
      </c>
    </row>
    <row r="27" spans="2:8" x14ac:dyDescent="0.25">
      <c r="B27" s="7" t="s">
        <v>13</v>
      </c>
    </row>
    <row r="28" spans="2:8" x14ac:dyDescent="0.25">
      <c r="B28" s="7" t="s">
        <v>26</v>
      </c>
    </row>
    <row r="29" spans="2:8" x14ac:dyDescent="0.25">
      <c r="B29" s="9" t="s">
        <v>29</v>
      </c>
      <c r="C29" t="s">
        <v>141</v>
      </c>
      <c r="F29" s="4" t="s">
        <v>30</v>
      </c>
      <c r="G29" t="s">
        <v>31</v>
      </c>
    </row>
    <row r="30" spans="2:8" x14ac:dyDescent="0.25">
      <c r="B30" s="9" t="s">
        <v>29</v>
      </c>
      <c r="C30" s="28">
        <v>0.45</v>
      </c>
      <c r="D30" t="s">
        <v>28</v>
      </c>
      <c r="F30" s="4" t="s">
        <v>30</v>
      </c>
      <c r="G30" s="28">
        <v>0.2</v>
      </c>
      <c r="H30" t="s">
        <v>28</v>
      </c>
    </row>
    <row r="31" spans="2:8" x14ac:dyDescent="0.25">
      <c r="B31" s="9" t="s">
        <v>29</v>
      </c>
      <c r="C31" s="4">
        <f>C30*1000</f>
        <v>450</v>
      </c>
      <c r="D31" t="s">
        <v>8</v>
      </c>
      <c r="F31" s="4" t="s">
        <v>30</v>
      </c>
      <c r="G31" s="4">
        <f>G30*1000</f>
        <v>200</v>
      </c>
      <c r="H31" t="s">
        <v>8</v>
      </c>
    </row>
    <row r="32" spans="2:8" x14ac:dyDescent="0.25">
      <c r="B32" s="7"/>
    </row>
    <row r="33" spans="2:15" x14ac:dyDescent="0.25">
      <c r="B33" s="10" t="s">
        <v>35</v>
      </c>
      <c r="D33" t="s">
        <v>36</v>
      </c>
      <c r="J33" s="8"/>
      <c r="L33" s="5" t="s">
        <v>142</v>
      </c>
      <c r="M33" s="5" t="s">
        <v>143</v>
      </c>
    </row>
    <row r="34" spans="2:15" x14ac:dyDescent="0.25">
      <c r="B34" s="7" t="s">
        <v>128</v>
      </c>
      <c r="D34">
        <f>G30*C30*G18</f>
        <v>216.00000000000003</v>
      </c>
      <c r="E34" t="s">
        <v>37</v>
      </c>
      <c r="O34" t="s">
        <v>144</v>
      </c>
    </row>
    <row r="35" spans="2:15" x14ac:dyDescent="0.25">
      <c r="B35" s="7"/>
      <c r="D35">
        <f>D34/1000</f>
        <v>0.21600000000000003</v>
      </c>
      <c r="E35" t="s">
        <v>131</v>
      </c>
    </row>
    <row r="36" spans="2:15" x14ac:dyDescent="0.25">
      <c r="B36" s="7"/>
      <c r="J36" s="5" t="s">
        <v>1</v>
      </c>
      <c r="K36" s="1"/>
      <c r="L36" s="1"/>
      <c r="M36" s="1"/>
      <c r="N36" s="1"/>
      <c r="O36" t="s">
        <v>2</v>
      </c>
    </row>
    <row r="37" spans="2:15" x14ac:dyDescent="0.25">
      <c r="B37" s="7" t="s">
        <v>38</v>
      </c>
    </row>
    <row r="38" spans="2:15" x14ac:dyDescent="0.25">
      <c r="B38" s="7"/>
      <c r="C38" t="s">
        <v>39</v>
      </c>
      <c r="D38" t="s">
        <v>130</v>
      </c>
      <c r="G38" t="s">
        <v>39</v>
      </c>
      <c r="H38" s="11">
        <f>1.2*C15+1.6*C16+1.2*D35</f>
        <v>4.2591999999999999</v>
      </c>
      <c r="I38" t="s">
        <v>50</v>
      </c>
      <c r="J38" s="5" t="s">
        <v>19</v>
      </c>
      <c r="O38" t="s">
        <v>20</v>
      </c>
    </row>
    <row r="39" spans="2:15" x14ac:dyDescent="0.25">
      <c r="B39" s="7"/>
      <c r="C39" t="s">
        <v>43</v>
      </c>
      <c r="D39" t="s">
        <v>47</v>
      </c>
      <c r="G39" t="s">
        <v>48</v>
      </c>
      <c r="H39" s="11">
        <f>1.2*C13</f>
        <v>3.5999999999999996</v>
      </c>
      <c r="I39" t="s">
        <v>24</v>
      </c>
    </row>
    <row r="40" spans="2:15" x14ac:dyDescent="0.25">
      <c r="B40" s="7"/>
      <c r="C40" t="s">
        <v>44</v>
      </c>
      <c r="D40" t="s">
        <v>46</v>
      </c>
      <c r="G40" t="s">
        <v>49</v>
      </c>
      <c r="H40" s="11">
        <f>1.2*C14</f>
        <v>4.8</v>
      </c>
      <c r="I40" t="s">
        <v>24</v>
      </c>
      <c r="K40">
        <v>2</v>
      </c>
      <c r="M40" s="53">
        <v>1</v>
      </c>
      <c r="N40" s="53">
        <v>1</v>
      </c>
    </row>
    <row r="41" spans="2:15" x14ac:dyDescent="0.25">
      <c r="B41" s="7"/>
    </row>
    <row r="42" spans="2:15" x14ac:dyDescent="0.25">
      <c r="B42" s="7" t="s">
        <v>51</v>
      </c>
      <c r="I42" s="52" t="s">
        <v>59</v>
      </c>
    </row>
    <row r="43" spans="2:15" x14ac:dyDescent="0.25">
      <c r="B43" s="4" t="s">
        <v>14</v>
      </c>
      <c r="C43" s="2" t="s">
        <v>15</v>
      </c>
    </row>
    <row r="44" spans="2:15" x14ac:dyDescent="0.25">
      <c r="C44" t="s">
        <v>52</v>
      </c>
      <c r="H44" s="6">
        <f>D45</f>
        <v>11.5184</v>
      </c>
    </row>
    <row r="45" spans="2:15" x14ac:dyDescent="0.25">
      <c r="C45" t="s">
        <v>53</v>
      </c>
      <c r="D45" s="6">
        <f>(H38*C12*0.5*C12+H39*(E9+F9)+H40*F9)/C12</f>
        <v>11.5184</v>
      </c>
      <c r="E45" t="s">
        <v>24</v>
      </c>
      <c r="K45" s="71">
        <f>D45-H38*C9</f>
        <v>3</v>
      </c>
    </row>
    <row r="46" spans="2:15" x14ac:dyDescent="0.25">
      <c r="H46" s="4" t="s">
        <v>1</v>
      </c>
      <c r="I46" s="51"/>
      <c r="J46" s="1"/>
      <c r="K46" s="1"/>
      <c r="L46" s="1"/>
      <c r="M46" s="4" t="s">
        <v>2</v>
      </c>
    </row>
    <row r="47" spans="2:15" x14ac:dyDescent="0.25">
      <c r="C47" s="2" t="s">
        <v>16</v>
      </c>
    </row>
    <row r="48" spans="2:15" x14ac:dyDescent="0.25">
      <c r="C48" s="3" t="s">
        <v>54</v>
      </c>
      <c r="J48" s="13">
        <f>K45-H39</f>
        <v>-0.59999999999999964</v>
      </c>
      <c r="L48" s="4"/>
    </row>
    <row r="49" spans="2:13" x14ac:dyDescent="0.25">
      <c r="C49" t="s">
        <v>55</v>
      </c>
      <c r="D49" s="6">
        <f>(H38*C12*0.5*C12+H39*C9+H40*(C9+E9))/C12</f>
        <v>13.9184</v>
      </c>
      <c r="E49" t="s">
        <v>24</v>
      </c>
      <c r="K49" s="13">
        <f>J48-H38*E9</f>
        <v>-4.8591999999999995</v>
      </c>
    </row>
    <row r="51" spans="2:13" x14ac:dyDescent="0.25">
      <c r="C51" s="12" t="s">
        <v>56</v>
      </c>
      <c r="K51" s="13">
        <f>K49-H40</f>
        <v>-9.6591999999999985</v>
      </c>
    </row>
    <row r="52" spans="2:13" x14ac:dyDescent="0.25">
      <c r="C52" t="s">
        <v>58</v>
      </c>
      <c r="M52" s="13">
        <f>K51-H38*F9</f>
        <v>-13.918399999999998</v>
      </c>
    </row>
    <row r="53" spans="2:13" x14ac:dyDescent="0.25">
      <c r="C53" s="6">
        <f>D45+D49</f>
        <v>25.436799999999998</v>
      </c>
      <c r="D53" s="4" t="s">
        <v>57</v>
      </c>
      <c r="E53" s="13">
        <f>H38*C12+H39+H40</f>
        <v>25.436800000000002</v>
      </c>
      <c r="I53" s="63" t="s">
        <v>135</v>
      </c>
      <c r="J53" s="63"/>
      <c r="K53" s="4" t="s">
        <v>136</v>
      </c>
      <c r="L53" s="4" t="s">
        <v>136</v>
      </c>
    </row>
    <row r="55" spans="2:13" x14ac:dyDescent="0.25">
      <c r="B55" s="7" t="s">
        <v>60</v>
      </c>
    </row>
    <row r="56" spans="2:13" x14ac:dyDescent="0.25">
      <c r="C56" t="s">
        <v>62</v>
      </c>
    </row>
    <row r="58" spans="2:13" x14ac:dyDescent="0.25">
      <c r="C58" t="s">
        <v>61</v>
      </c>
      <c r="D58" s="13">
        <f>D45*C9-0.5*H38*C9^2</f>
        <v>14.5184</v>
      </c>
      <c r="E58" t="s">
        <v>63</v>
      </c>
    </row>
    <row r="59" spans="2:13" x14ac:dyDescent="0.25">
      <c r="C59" t="s">
        <v>91</v>
      </c>
      <c r="D59" s="13">
        <f>D58*1000</f>
        <v>14518.4</v>
      </c>
      <c r="E59" t="s">
        <v>90</v>
      </c>
      <c r="G59" t="s">
        <v>92</v>
      </c>
      <c r="H59" s="4">
        <v>10</v>
      </c>
      <c r="I59" t="s">
        <v>93</v>
      </c>
    </row>
    <row r="60" spans="2:13" x14ac:dyDescent="0.25">
      <c r="C60" t="s">
        <v>91</v>
      </c>
      <c r="D60" s="13">
        <f>D59*H59</f>
        <v>145184</v>
      </c>
      <c r="E60" t="s">
        <v>94</v>
      </c>
    </row>
    <row r="61" spans="2:13" x14ac:dyDescent="0.25">
      <c r="C61" t="s">
        <v>91</v>
      </c>
      <c r="D61" s="13">
        <f>D60*1000</f>
        <v>145184000</v>
      </c>
      <c r="E61" t="s">
        <v>95</v>
      </c>
    </row>
    <row r="62" spans="2:13" x14ac:dyDescent="0.25">
      <c r="C62" t="s">
        <v>91</v>
      </c>
      <c r="D62" s="50">
        <f>D61</f>
        <v>145184000</v>
      </c>
      <c r="E62" t="s">
        <v>95</v>
      </c>
    </row>
    <row r="64" spans="2:13" x14ac:dyDescent="0.25">
      <c r="B64" s="7" t="s">
        <v>64</v>
      </c>
    </row>
    <row r="65" spans="3:8" x14ac:dyDescent="0.25">
      <c r="C65" s="14" t="s">
        <v>65</v>
      </c>
      <c r="D65" t="s">
        <v>66</v>
      </c>
    </row>
    <row r="66" spans="3:8" x14ac:dyDescent="0.25">
      <c r="C66" s="20" t="s">
        <v>74</v>
      </c>
      <c r="D66" s="21">
        <f>1.4/C18</f>
        <v>5.5999999999999999E-3</v>
      </c>
    </row>
    <row r="68" spans="3:8" ht="27" customHeight="1" x14ac:dyDescent="0.45">
      <c r="C68" s="16" t="s">
        <v>3</v>
      </c>
      <c r="D68" s="17">
        <v>35</v>
      </c>
      <c r="E68" t="s">
        <v>5</v>
      </c>
      <c r="G68" s="15" t="s">
        <v>67</v>
      </c>
    </row>
    <row r="69" spans="3:8" x14ac:dyDescent="0.25">
      <c r="C69" s="7" t="s">
        <v>71</v>
      </c>
      <c r="G69" s="2" t="s">
        <v>68</v>
      </c>
    </row>
    <row r="70" spans="3:8" x14ac:dyDescent="0.25">
      <c r="G70" s="19" t="s">
        <v>69</v>
      </c>
      <c r="H70" s="18">
        <f>0.85-((D68-30)/7)*0.05</f>
        <v>0.81428571428571428</v>
      </c>
    </row>
    <row r="71" spans="3:8" x14ac:dyDescent="0.25">
      <c r="C71" t="s">
        <v>132</v>
      </c>
      <c r="G71" s="19"/>
      <c r="H71" s="18"/>
    </row>
    <row r="72" spans="3:8" x14ac:dyDescent="0.25">
      <c r="G72" s="19"/>
      <c r="H72" s="18"/>
    </row>
    <row r="77" spans="3:8" x14ac:dyDescent="0.25">
      <c r="C77" s="14" t="s">
        <v>70</v>
      </c>
      <c r="D77">
        <f>0.85*C17*H70/C18*(600/(600+C18))</f>
        <v>6.8400000000000002E-2</v>
      </c>
    </row>
    <row r="78" spans="3:8" x14ac:dyDescent="0.25">
      <c r="C78" s="14" t="s">
        <v>72</v>
      </c>
      <c r="D78" t="s">
        <v>73</v>
      </c>
    </row>
    <row r="79" spans="3:8" x14ac:dyDescent="0.25">
      <c r="C79" s="20" t="s">
        <v>75</v>
      </c>
      <c r="D79" s="22">
        <f>0.5*D77</f>
        <v>3.4200000000000001E-2</v>
      </c>
    </row>
    <row r="81" spans="3:8" x14ac:dyDescent="0.25">
      <c r="C81" t="s">
        <v>76</v>
      </c>
      <c r="D81" s="24" t="s">
        <v>77</v>
      </c>
      <c r="E81" s="23"/>
      <c r="G81" s="44"/>
      <c r="H81" s="4"/>
    </row>
    <row r="83" spans="3:8" x14ac:dyDescent="0.25">
      <c r="C83" s="44">
        <f>D66</f>
        <v>5.5999999999999999E-3</v>
      </c>
      <c r="D83" s="4" t="s">
        <v>123</v>
      </c>
      <c r="E83">
        <f>D79</f>
        <v>3.4200000000000001E-2</v>
      </c>
    </row>
  </sheetData>
  <mergeCells count="1">
    <mergeCell ref="I53:J53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Equation.3" shapeId="1026" r:id="rId4">
          <objectPr defaultSize="0" autoPict="0" r:id="rId5">
            <anchor moveWithCells="1" sizeWithCells="1">
              <from>
                <xdr:col>2</xdr:col>
                <xdr:colOff>28575</xdr:colOff>
                <xdr:row>73</xdr:row>
                <xdr:rowOff>0</xdr:rowOff>
              </from>
              <to>
                <xdr:col>5</xdr:col>
                <xdr:colOff>381000</xdr:colOff>
                <xdr:row>75</xdr:row>
                <xdr:rowOff>9525</xdr:rowOff>
              </to>
            </anchor>
          </objectPr>
        </oleObject>
      </mc:Choice>
      <mc:Fallback>
        <oleObject progId="Equation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T27"/>
  <sheetViews>
    <sheetView tabSelected="1" topLeftCell="A16" workbookViewId="0">
      <selection activeCell="H18" sqref="H18"/>
    </sheetView>
  </sheetViews>
  <sheetFormatPr defaultRowHeight="15" x14ac:dyDescent="0.25"/>
  <cols>
    <col min="2" max="2" width="11.42578125" customWidth="1"/>
    <col min="3" max="3" width="9.28515625" customWidth="1"/>
    <col min="4" max="4" width="10.7109375" customWidth="1"/>
    <col min="5" max="5" width="10.42578125" customWidth="1"/>
    <col min="6" max="6" width="12.85546875" customWidth="1"/>
    <col min="7" max="7" width="26" customWidth="1"/>
    <col min="8" max="8" width="11.5703125" customWidth="1"/>
    <col min="9" max="9" width="5.85546875" customWidth="1"/>
    <col min="10" max="10" width="5" customWidth="1"/>
    <col min="11" max="11" width="9.7109375" customWidth="1"/>
    <col min="13" max="13" width="11.42578125" customWidth="1"/>
    <col min="14" max="14" width="8.42578125" customWidth="1"/>
    <col min="15" max="16" width="5.5703125" customWidth="1"/>
    <col min="17" max="17" width="8.42578125" customWidth="1"/>
    <col min="18" max="18" width="8.5703125" customWidth="1"/>
    <col min="19" max="19" width="11.140625" customWidth="1"/>
    <col min="20" max="20" width="21.42578125" customWidth="1"/>
  </cols>
  <sheetData>
    <row r="2" spans="2:8" ht="21" x14ac:dyDescent="0.35">
      <c r="B2" s="25" t="s">
        <v>85</v>
      </c>
    </row>
    <row r="3" spans="2:8" ht="15.75" customHeight="1" x14ac:dyDescent="0.25"/>
    <row r="4" spans="2:8" ht="15.75" customHeight="1" x14ac:dyDescent="0.25">
      <c r="B4" s="8" t="s">
        <v>86</v>
      </c>
    </row>
    <row r="5" spans="2:8" x14ac:dyDescent="0.25">
      <c r="B5" t="s">
        <v>29</v>
      </c>
      <c r="C5" s="4">
        <f>'beban-reksi tumpuan-Mmax'!C31</f>
        <v>450</v>
      </c>
      <c r="D5" t="s">
        <v>8</v>
      </c>
    </row>
    <row r="6" spans="2:8" x14ac:dyDescent="0.25">
      <c r="B6" t="s">
        <v>30</v>
      </c>
      <c r="C6" s="4">
        <f>'beban-reksi tumpuan-Mmax'!G31</f>
        <v>200</v>
      </c>
      <c r="D6" t="s">
        <v>8</v>
      </c>
    </row>
    <row r="7" spans="2:8" x14ac:dyDescent="0.25">
      <c r="B7" t="s">
        <v>7</v>
      </c>
      <c r="C7" s="4">
        <f>'beban-reksi tumpuan-Mmax'!C20</f>
        <v>50</v>
      </c>
      <c r="D7" t="s">
        <v>8</v>
      </c>
    </row>
    <row r="8" spans="2:8" x14ac:dyDescent="0.25">
      <c r="B8" t="s">
        <v>87</v>
      </c>
      <c r="C8" s="4">
        <f>C5-C7</f>
        <v>400</v>
      </c>
      <c r="D8" t="s">
        <v>8</v>
      </c>
    </row>
    <row r="9" spans="2:8" x14ac:dyDescent="0.25">
      <c r="B9" s="14" t="s">
        <v>96</v>
      </c>
      <c r="C9" s="4">
        <f>'beban-reksi tumpuan-Mmax'!C19</f>
        <v>0.8</v>
      </c>
    </row>
    <row r="10" spans="2:8" x14ac:dyDescent="0.25">
      <c r="B10" s="14" t="s">
        <v>3</v>
      </c>
      <c r="C10" s="4">
        <f>'beban-reksi tumpuan-Mmax'!C17</f>
        <v>35</v>
      </c>
      <c r="D10" t="s">
        <v>101</v>
      </c>
    </row>
    <row r="11" spans="2:8" x14ac:dyDescent="0.25">
      <c r="B11" s="14" t="s">
        <v>100</v>
      </c>
      <c r="C11" s="4">
        <f>'beban-reksi tumpuan-Mmax'!C18</f>
        <v>250</v>
      </c>
      <c r="D11" t="s">
        <v>101</v>
      </c>
    </row>
    <row r="12" spans="2:8" x14ac:dyDescent="0.25">
      <c r="B12" s="14" t="s">
        <v>65</v>
      </c>
      <c r="C12" s="4">
        <f>'beban-reksi tumpuan-Mmax'!D66</f>
        <v>5.5999999999999999E-3</v>
      </c>
      <c r="F12" s="24" t="s">
        <v>115</v>
      </c>
    </row>
    <row r="13" spans="2:8" x14ac:dyDescent="0.25">
      <c r="B13" s="14" t="s">
        <v>72</v>
      </c>
      <c r="C13" s="4">
        <f>'beban-reksi tumpuan-Mmax'!D79</f>
        <v>3.4200000000000001E-2</v>
      </c>
    </row>
    <row r="14" spans="2:8" x14ac:dyDescent="0.25">
      <c r="B14" t="s">
        <v>112</v>
      </c>
      <c r="C14" s="4">
        <v>25</v>
      </c>
      <c r="D14" t="s">
        <v>113</v>
      </c>
      <c r="F14" s="46" t="s">
        <v>124</v>
      </c>
      <c r="G14" s="45" t="s">
        <v>77</v>
      </c>
    </row>
    <row r="15" spans="2:8" x14ac:dyDescent="0.25">
      <c r="B15" s="14" t="s">
        <v>114</v>
      </c>
      <c r="C15" s="4">
        <v>8</v>
      </c>
      <c r="D15" t="s">
        <v>8</v>
      </c>
      <c r="F15" s="47" t="s">
        <v>125</v>
      </c>
      <c r="G15" s="45" t="s">
        <v>127</v>
      </c>
      <c r="H15" s="24" t="s">
        <v>126</v>
      </c>
    </row>
    <row r="17" spans="2:20" x14ac:dyDescent="0.25">
      <c r="B17" s="14"/>
      <c r="C17" s="4"/>
      <c r="F17">
        <f>C12</f>
        <v>5.5999999999999999E-3</v>
      </c>
      <c r="G17" s="49">
        <f>G25</f>
        <v>2.5394604856343886E-2</v>
      </c>
      <c r="H17" s="48">
        <f>C13</f>
        <v>3.4200000000000001E-2</v>
      </c>
    </row>
    <row r="18" spans="2:20" ht="15.75" x14ac:dyDescent="0.25">
      <c r="B18" s="26" t="s">
        <v>99</v>
      </c>
      <c r="C18" s="27"/>
    </row>
    <row r="20" spans="2:20" x14ac:dyDescent="0.25">
      <c r="B20" s="64" t="s">
        <v>134</v>
      </c>
      <c r="C20" s="30" t="s">
        <v>78</v>
      </c>
      <c r="D20" s="30" t="s">
        <v>80</v>
      </c>
      <c r="E20" s="30" t="s">
        <v>82</v>
      </c>
      <c r="F20" s="30" t="s">
        <v>97</v>
      </c>
      <c r="G20" s="31" t="s">
        <v>88</v>
      </c>
      <c r="H20" s="69" t="s">
        <v>118</v>
      </c>
      <c r="I20" s="69"/>
      <c r="J20" s="69"/>
      <c r="K20" s="69"/>
      <c r="L20" s="69"/>
      <c r="M20" s="70"/>
      <c r="N20" s="68" t="s">
        <v>139</v>
      </c>
      <c r="O20" s="69"/>
      <c r="P20" s="69"/>
      <c r="Q20" s="69"/>
      <c r="R20" s="69"/>
      <c r="S20" s="69"/>
      <c r="T20" s="32" t="s">
        <v>122</v>
      </c>
    </row>
    <row r="21" spans="2:20" x14ac:dyDescent="0.25">
      <c r="B21" s="65"/>
      <c r="C21" s="33"/>
      <c r="D21" s="34" t="s">
        <v>81</v>
      </c>
      <c r="E21" s="34" t="s">
        <v>83</v>
      </c>
      <c r="F21" s="34" t="s">
        <v>98</v>
      </c>
      <c r="G21" s="35" t="s">
        <v>89</v>
      </c>
      <c r="H21" s="34" t="s">
        <v>102</v>
      </c>
      <c r="I21" s="67" t="s">
        <v>140</v>
      </c>
      <c r="J21" s="67"/>
      <c r="K21" s="34" t="s">
        <v>106</v>
      </c>
      <c r="L21" s="34" t="s">
        <v>108</v>
      </c>
      <c r="M21" s="59" t="s">
        <v>110</v>
      </c>
      <c r="N21" s="54" t="s">
        <v>116</v>
      </c>
      <c r="O21" s="67" t="s">
        <v>140</v>
      </c>
      <c r="P21" s="67"/>
      <c r="Q21" s="34" t="s">
        <v>120</v>
      </c>
      <c r="R21" s="34" t="s">
        <v>121</v>
      </c>
      <c r="S21" s="34" t="s">
        <v>110</v>
      </c>
      <c r="T21" s="33"/>
    </row>
    <row r="22" spans="2:20" x14ac:dyDescent="0.25">
      <c r="B22" s="65"/>
      <c r="C22" s="34"/>
      <c r="D22" s="33"/>
      <c r="E22" s="33"/>
      <c r="F22" s="34"/>
      <c r="G22" s="34"/>
      <c r="H22" s="36"/>
      <c r="I22" s="34" t="s">
        <v>104</v>
      </c>
      <c r="J22" s="36" t="s">
        <v>105</v>
      </c>
      <c r="K22" s="34"/>
      <c r="L22" s="34"/>
      <c r="M22" s="59" t="s">
        <v>111</v>
      </c>
      <c r="N22" s="55" t="s">
        <v>117</v>
      </c>
      <c r="O22" s="34" t="s">
        <v>104</v>
      </c>
      <c r="P22" s="36" t="s">
        <v>105</v>
      </c>
      <c r="Q22" s="34"/>
      <c r="R22" s="34"/>
      <c r="S22" s="34" t="s">
        <v>111</v>
      </c>
      <c r="T22" s="33"/>
    </row>
    <row r="23" spans="2:20" ht="15.75" thickBot="1" x14ac:dyDescent="0.3">
      <c r="B23" s="66"/>
      <c r="C23" s="37" t="s">
        <v>79</v>
      </c>
      <c r="D23" s="37" t="s">
        <v>79</v>
      </c>
      <c r="E23" s="37" t="s">
        <v>84</v>
      </c>
      <c r="F23" s="38"/>
      <c r="G23" s="38"/>
      <c r="H23" s="37" t="s">
        <v>103</v>
      </c>
      <c r="I23" s="37" t="s">
        <v>107</v>
      </c>
      <c r="J23" s="38"/>
      <c r="K23" s="37" t="s">
        <v>103</v>
      </c>
      <c r="L23" s="37" t="s">
        <v>109</v>
      </c>
      <c r="M23" s="60" t="s">
        <v>119</v>
      </c>
      <c r="N23" s="56" t="s">
        <v>103</v>
      </c>
      <c r="O23" s="37" t="s">
        <v>107</v>
      </c>
      <c r="P23" s="38"/>
      <c r="Q23" s="37" t="s">
        <v>103</v>
      </c>
      <c r="R23" s="37" t="s">
        <v>109</v>
      </c>
      <c r="S23" s="37" t="s">
        <v>119</v>
      </c>
      <c r="T23" s="39"/>
    </row>
    <row r="24" spans="2:20" ht="15.75" thickTop="1" x14ac:dyDescent="0.25">
      <c r="B24" s="41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61"/>
      <c r="N24" s="57"/>
      <c r="O24" s="40"/>
      <c r="P24" s="40"/>
      <c r="Q24" s="40"/>
      <c r="R24" s="40"/>
      <c r="S24" s="41"/>
      <c r="T24" s="41"/>
    </row>
    <row r="25" spans="2:20" x14ac:dyDescent="0.25">
      <c r="B25" s="34" t="s">
        <v>137</v>
      </c>
      <c r="C25" s="42">
        <f>'beban-reksi tumpuan-Mmax'!D61</f>
        <v>145184000</v>
      </c>
      <c r="D25" s="42">
        <f>C25/C9</f>
        <v>181480000</v>
      </c>
      <c r="E25" s="43">
        <f>D25/(C6*C8^2)</f>
        <v>5.6712499999999997</v>
      </c>
      <c r="F25" s="34">
        <f>C11/(0.85*C10)</f>
        <v>8.4033613445378155</v>
      </c>
      <c r="G25" s="34">
        <f>1/F25*(1-(1-(2*F25*E25)/C11)^(1/2))</f>
        <v>2.5394604856343886E-2</v>
      </c>
      <c r="H25" s="34">
        <f>G25*C6*C8</f>
        <v>2031.5683885075109</v>
      </c>
      <c r="I25" s="34">
        <v>2</v>
      </c>
      <c r="J25" s="34">
        <v>25</v>
      </c>
      <c r="K25" s="65">
        <f>0.25*3.14*J25^2*I25+0.25*3.15*J26^2*I26</f>
        <v>2457.8125</v>
      </c>
      <c r="L25" s="34">
        <f>K25-H25</f>
        <v>426.24411149248908</v>
      </c>
      <c r="M25" s="59">
        <f>($C$6-(2*$C$14+2*$C$15+I25*J25))/(I25-1)</f>
        <v>84</v>
      </c>
      <c r="N25" s="54">
        <f>0.5*H25</f>
        <v>1015.7841942537555</v>
      </c>
      <c r="O25" s="34">
        <v>3</v>
      </c>
      <c r="P25" s="34">
        <v>25</v>
      </c>
      <c r="Q25" s="65">
        <f>0.25*3.14*P25^2*O25+0.25*3.15*P26^2*O26</f>
        <v>1471.875</v>
      </c>
      <c r="R25" s="34">
        <f>Q25-N25</f>
        <v>456.09080574624454</v>
      </c>
      <c r="S25" s="34">
        <f>($C$6-(2*$C$14+2*$C$15+O25*P25))/(O25-1)</f>
        <v>29.5</v>
      </c>
      <c r="T25" s="33"/>
    </row>
    <row r="26" spans="2:20" x14ac:dyDescent="0.25">
      <c r="B26" s="34" t="s">
        <v>138</v>
      </c>
      <c r="C26" s="34"/>
      <c r="D26" s="34"/>
      <c r="E26" s="34"/>
      <c r="F26" s="34"/>
      <c r="G26" s="34"/>
      <c r="H26" s="34"/>
      <c r="I26" s="34">
        <v>3</v>
      </c>
      <c r="J26" s="34">
        <v>25</v>
      </c>
      <c r="K26" s="65"/>
      <c r="L26" s="34"/>
      <c r="M26" s="59">
        <f>($C$6-(2*$C$14+2*$C$15+I26*J26))/(I26-1)</f>
        <v>29.5</v>
      </c>
      <c r="N26" s="54"/>
      <c r="O26" s="34"/>
      <c r="P26" s="34"/>
      <c r="Q26" s="65"/>
      <c r="R26" s="34"/>
      <c r="S26" s="33"/>
      <c r="T26" s="33"/>
    </row>
    <row r="27" spans="2:20" ht="32.25" customHeight="1" x14ac:dyDescent="0.25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2"/>
      <c r="N27" s="58"/>
      <c r="O27" s="29"/>
      <c r="P27" s="29"/>
      <c r="Q27" s="29"/>
      <c r="R27" s="29"/>
      <c r="S27" s="29"/>
      <c r="T27" s="29"/>
    </row>
  </sheetData>
  <mergeCells count="7">
    <mergeCell ref="B20:B23"/>
    <mergeCell ref="O21:P21"/>
    <mergeCell ref="N20:S20"/>
    <mergeCell ref="Q25:Q26"/>
    <mergeCell ref="I21:J21"/>
    <mergeCell ref="K25:K26"/>
    <mergeCell ref="H20:M20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66675</xdr:colOff>
                <xdr:row>1</xdr:row>
                <xdr:rowOff>238125</xdr:rowOff>
              </from>
              <to>
                <xdr:col>6</xdr:col>
                <xdr:colOff>1438275</xdr:colOff>
                <xdr:row>9</xdr:row>
                <xdr:rowOff>133350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beban-reksi tumpuan-Mmax</vt:lpstr>
      <vt:lpstr>Penulangan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Agung Kristiawan</cp:lastModifiedBy>
  <dcterms:created xsi:type="dcterms:W3CDTF">2017-06-08T09:56:10Z</dcterms:created>
  <dcterms:modified xsi:type="dcterms:W3CDTF">2021-04-06T01:28:07Z</dcterms:modified>
</cp:coreProperties>
</file>