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GRIS\PENDIDIKAN &amp; PENGAJARAN\KULIAH\Konstruksi beton bertulang lanjutan\Beton Lanjutan\bahan urutan\Tugas besar\"/>
    </mc:Choice>
  </mc:AlternateContent>
  <bookViews>
    <workbookView xWindow="0" yWindow="0" windowWidth="20490" windowHeight="7650" activeTab="1"/>
  </bookViews>
  <sheets>
    <sheet name="PLAT" sheetId="1" r:id="rId1"/>
    <sheet name="QE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AY52" i="2" l="1"/>
  <c r="AX52" i="2"/>
  <c r="AV52" i="2"/>
  <c r="AU52" i="2"/>
  <c r="AD110" i="2"/>
  <c r="AF108" i="2"/>
  <c r="AD106" i="2"/>
  <c r="AD101" i="2"/>
  <c r="AB100" i="2"/>
  <c r="AF96" i="2"/>
  <c r="AC96" i="2"/>
  <c r="AE92" i="2"/>
  <c r="AD90" i="2"/>
  <c r="AA88" i="2"/>
  <c r="AC88" i="2"/>
  <c r="AF88" i="2"/>
  <c r="AA86" i="2"/>
  <c r="AF86" i="2"/>
  <c r="AC86" i="2"/>
  <c r="AA83" i="2"/>
  <c r="AF83" i="2"/>
  <c r="AC83" i="2"/>
  <c r="AT52" i="2"/>
  <c r="AT104" i="2"/>
  <c r="AU97" i="2"/>
  <c r="AU91" i="2"/>
  <c r="AU79" i="2"/>
  <c r="AT102" i="2"/>
  <c r="AQ52" i="2"/>
  <c r="AP52" i="2"/>
  <c r="AO52" i="2"/>
  <c r="AN52" i="2"/>
  <c r="AE52" i="2"/>
  <c r="T34" i="2"/>
  <c r="AS52" i="2" l="1"/>
  <c r="AU96" i="2"/>
  <c r="AU95" i="2"/>
  <c r="AU89" i="2"/>
  <c r="AU88" i="2"/>
  <c r="AU87" i="2"/>
  <c r="AU86" i="2"/>
  <c r="AU77" i="2"/>
  <c r="AR52" i="2"/>
  <c r="AE20" i="2"/>
  <c r="AM52" i="2" l="1"/>
  <c r="AF52" i="2"/>
  <c r="AA52" i="2"/>
  <c r="Z52" i="2"/>
  <c r="Z68" i="2" s="1"/>
  <c r="Y52" i="2"/>
  <c r="Y51" i="2"/>
  <c r="Y67" i="2" s="1"/>
  <c r="Y68" i="2"/>
  <c r="Z50" i="2"/>
  <c r="Z66" i="2" s="1"/>
  <c r="Y50" i="2"/>
  <c r="Y49" i="2"/>
  <c r="Y65" i="2" s="1"/>
  <c r="AM50" i="2"/>
  <c r="AF50" i="2"/>
  <c r="Y64" i="2"/>
  <c r="Y66" i="2"/>
  <c r="Z48" i="2"/>
  <c r="Z64" i="2" s="1"/>
  <c r="Y48" i="2"/>
  <c r="Y47" i="2"/>
  <c r="Y63" i="2" s="1"/>
  <c r="AM48" i="2"/>
  <c r="AF48" i="2"/>
  <c r="AF20" i="2"/>
  <c r="AF22" i="2"/>
  <c r="AA22" i="2"/>
  <c r="Z22" i="2"/>
  <c r="Z32" i="2" s="1"/>
  <c r="Y22" i="2"/>
  <c r="Y32" i="2" s="1"/>
  <c r="Y21" i="2"/>
  <c r="Y31" i="2" s="1"/>
  <c r="AM22" i="2"/>
  <c r="AM20" i="2"/>
  <c r="AA20" i="2"/>
  <c r="Y20" i="2"/>
  <c r="Y30" i="2" s="1"/>
  <c r="Z20" i="2"/>
  <c r="Y19" i="2"/>
  <c r="C20" i="2"/>
  <c r="Y29" i="2" l="1"/>
  <c r="Z30" i="2"/>
  <c r="Q64" i="2"/>
  <c r="K64" i="2"/>
  <c r="K62" i="2"/>
  <c r="I60" i="2"/>
  <c r="AA50" i="2" s="1"/>
  <c r="M58" i="2"/>
  <c r="K58" i="2"/>
  <c r="Q56" i="2"/>
  <c r="K56" i="2"/>
  <c r="I54" i="2"/>
  <c r="Q52" i="2"/>
  <c r="K52" i="2"/>
  <c r="Q50" i="2"/>
  <c r="I50" i="2"/>
  <c r="K50" i="2" s="1"/>
  <c r="I48" i="2"/>
  <c r="K48" i="2" s="1"/>
  <c r="Q34" i="2"/>
  <c r="Q40" i="2"/>
  <c r="M40" i="2"/>
  <c r="K40" i="2"/>
  <c r="M38" i="2"/>
  <c r="K38" i="2"/>
  <c r="AB22" i="2" s="1"/>
  <c r="Q36" i="2"/>
  <c r="M36" i="2"/>
  <c r="K36" i="2"/>
  <c r="K24" i="2"/>
  <c r="M34" i="2"/>
  <c r="K34" i="2"/>
  <c r="M32" i="2"/>
  <c r="K32" i="2"/>
  <c r="AB20" i="2" s="1"/>
  <c r="Q30" i="2"/>
  <c r="M30" i="2"/>
  <c r="K30" i="2"/>
  <c r="M28" i="2"/>
  <c r="I28" i="2"/>
  <c r="K28" i="2" s="1"/>
  <c r="I26" i="2"/>
  <c r="K26" i="2" s="1"/>
  <c r="M26" i="2"/>
  <c r="Q24" i="2"/>
  <c r="M24" i="2"/>
  <c r="L62" i="2" l="1"/>
  <c r="AB52" i="2"/>
  <c r="K54" i="2"/>
  <c r="AB48" i="2" s="1"/>
  <c r="AA48" i="2"/>
  <c r="L38" i="2"/>
  <c r="N38" i="2" s="1"/>
  <c r="AD22" i="2" s="1"/>
  <c r="AE22" i="2" s="1"/>
  <c r="K60" i="2"/>
  <c r="AB50" i="2" s="1"/>
  <c r="L48" i="2"/>
  <c r="N48" i="2" s="1"/>
  <c r="O48" i="2" s="1"/>
  <c r="L32" i="2"/>
  <c r="L40" i="2"/>
  <c r="N40" i="2" s="1"/>
  <c r="O40" i="2" s="1"/>
  <c r="L56" i="2"/>
  <c r="N56" i="2" s="1"/>
  <c r="O56" i="2" s="1"/>
  <c r="L64" i="2"/>
  <c r="N64" i="2" s="1"/>
  <c r="L24" i="2"/>
  <c r="N24" i="2" s="1"/>
  <c r="O24" i="2" s="1"/>
  <c r="L58" i="2"/>
  <c r="N58" i="2" s="1"/>
  <c r="O58" i="2" s="1"/>
  <c r="L52" i="2"/>
  <c r="N52" i="2" s="1"/>
  <c r="O52" i="2" s="1"/>
  <c r="L50" i="2"/>
  <c r="N50" i="2" s="1"/>
  <c r="O50" i="2" s="1"/>
  <c r="L36" i="2"/>
  <c r="N36" i="2" s="1"/>
  <c r="O36" i="2" s="1"/>
  <c r="L34" i="2"/>
  <c r="N34" i="2" s="1"/>
  <c r="O34" i="2" s="1"/>
  <c r="L30" i="2"/>
  <c r="N30" i="2" s="1"/>
  <c r="O30" i="2" s="1"/>
  <c r="L28" i="2"/>
  <c r="N28" i="2" s="1"/>
  <c r="O28" i="2" s="1"/>
  <c r="L26" i="2"/>
  <c r="N26" i="2" s="1"/>
  <c r="O26" i="2" s="1"/>
  <c r="Q22" i="2"/>
  <c r="M22" i="2"/>
  <c r="I22" i="2"/>
  <c r="K22" i="2" s="1"/>
  <c r="Q20" i="2"/>
  <c r="M20" i="2"/>
  <c r="K20" i="2"/>
  <c r="L20" i="2" s="1"/>
  <c r="L9" i="1"/>
  <c r="L10" i="1"/>
  <c r="L11" i="1"/>
  <c r="L12" i="1"/>
  <c r="L13" i="1"/>
  <c r="L8" i="1"/>
  <c r="C17" i="2"/>
  <c r="D69" i="1"/>
  <c r="K51" i="1" s="1"/>
  <c r="S49" i="1"/>
  <c r="L51" i="1"/>
  <c r="L52" i="1"/>
  <c r="L53" i="1"/>
  <c r="L54" i="1"/>
  <c r="L55" i="1"/>
  <c r="L50" i="1"/>
  <c r="K52" i="1"/>
  <c r="J51" i="1"/>
  <c r="J52" i="1"/>
  <c r="J53" i="1"/>
  <c r="J54" i="1"/>
  <c r="J55" i="1"/>
  <c r="J50" i="1"/>
  <c r="O64" i="2" l="1"/>
  <c r="AD52" i="2"/>
  <c r="L54" i="2"/>
  <c r="K54" i="1"/>
  <c r="N62" i="2"/>
  <c r="AD50" i="2" s="1"/>
  <c r="AE50" i="2" s="1"/>
  <c r="AC52" i="2"/>
  <c r="AC22" i="2"/>
  <c r="L60" i="2"/>
  <c r="AC50" i="2" s="1"/>
  <c r="N32" i="2"/>
  <c r="AD20" i="2" s="1"/>
  <c r="AC20" i="2"/>
  <c r="N22" i="2"/>
  <c r="O22" i="2" s="1"/>
  <c r="N20" i="2"/>
  <c r="K55" i="1"/>
  <c r="K53" i="1"/>
  <c r="AB51" i="1"/>
  <c r="AB52" i="1"/>
  <c r="AB53" i="1"/>
  <c r="AB54" i="1"/>
  <c r="AB55" i="1"/>
  <c r="AB50" i="1"/>
  <c r="F69" i="1" s="1"/>
  <c r="AN50" i="2" l="1"/>
  <c r="N54" i="2"/>
  <c r="AD48" i="2" s="1"/>
  <c r="AC48" i="2"/>
  <c r="N60" i="2"/>
  <c r="AE48" i="2"/>
  <c r="R24" i="2"/>
  <c r="O20" i="2"/>
  <c r="AD51" i="1"/>
  <c r="AD52" i="1"/>
  <c r="AD53" i="1"/>
  <c r="AD54" i="1"/>
  <c r="AD55" i="1"/>
  <c r="AD50" i="1"/>
  <c r="N51" i="1"/>
  <c r="X51" i="1" s="1"/>
  <c r="N52" i="1"/>
  <c r="X52" i="1" s="1"/>
  <c r="N53" i="1"/>
  <c r="X53" i="1" s="1"/>
  <c r="N54" i="1"/>
  <c r="X54" i="1" s="1"/>
  <c r="N55" i="1"/>
  <c r="X55" i="1" s="1"/>
  <c r="N50" i="1"/>
  <c r="X50" i="1" s="1"/>
  <c r="AS50" i="2" l="1"/>
  <c r="AO50" i="2"/>
  <c r="U24" i="2"/>
  <c r="S24" i="2"/>
  <c r="T24" i="2"/>
  <c r="P50" i="1"/>
  <c r="C18" i="2" s="1"/>
  <c r="D50" i="1"/>
  <c r="W55" i="1"/>
  <c r="M55" i="1"/>
  <c r="P55" i="1"/>
  <c r="W54" i="1"/>
  <c r="M54" i="1"/>
  <c r="P54" i="1"/>
  <c r="W53" i="1"/>
  <c r="M53" i="1"/>
  <c r="P53" i="1"/>
  <c r="W52" i="1"/>
  <c r="M52" i="1"/>
  <c r="P52" i="1"/>
  <c r="W51" i="1"/>
  <c r="M51" i="1"/>
  <c r="P51" i="1"/>
  <c r="W50" i="1"/>
  <c r="M50" i="1"/>
  <c r="L43" i="1"/>
  <c r="L41" i="1"/>
  <c r="L39" i="1"/>
  <c r="C29" i="1"/>
  <c r="C24" i="1"/>
  <c r="E24" i="1" s="1"/>
  <c r="E23" i="1"/>
  <c r="E22" i="1"/>
  <c r="E21" i="1"/>
  <c r="E20" i="1"/>
  <c r="O9" i="1"/>
  <c r="O10" i="1"/>
  <c r="O11" i="1"/>
  <c r="O12" i="1"/>
  <c r="O13" i="1"/>
  <c r="O8" i="1"/>
  <c r="M8" i="1"/>
  <c r="M13" i="1"/>
  <c r="M12" i="1"/>
  <c r="M11" i="1"/>
  <c r="M10" i="1"/>
  <c r="M9" i="1"/>
  <c r="AB66" i="2" l="1"/>
  <c r="AI66" i="2"/>
  <c r="AD66" i="2"/>
  <c r="AK66" i="2"/>
  <c r="Q52" i="1"/>
  <c r="N13" i="1"/>
  <c r="N11" i="1"/>
  <c r="N9" i="1"/>
  <c r="N8" i="1"/>
  <c r="N12" i="1"/>
  <c r="N10" i="1"/>
  <c r="E25" i="1"/>
  <c r="C34" i="1" s="1"/>
  <c r="Q50" i="1"/>
  <c r="Q51" i="1"/>
  <c r="Q54" i="1"/>
  <c r="Q55" i="1"/>
  <c r="L40" i="1"/>
  <c r="L42" i="1"/>
  <c r="L44" i="1"/>
  <c r="Q53" i="1"/>
  <c r="B9" i="2" l="1"/>
  <c r="T40" i="1"/>
  <c r="T42" i="1"/>
  <c r="T44" i="1"/>
  <c r="S41" i="1"/>
  <c r="U41" i="1" s="1"/>
  <c r="S43" i="1"/>
  <c r="U43" i="1" s="1"/>
  <c r="R40" i="1"/>
  <c r="R42" i="1"/>
  <c r="R44" i="1"/>
  <c r="S39" i="1"/>
  <c r="U39" i="1" s="1"/>
  <c r="Q40" i="1"/>
  <c r="Q42" i="1"/>
  <c r="Q44" i="1"/>
  <c r="T41" i="1"/>
  <c r="T43" i="1"/>
  <c r="S40" i="1"/>
  <c r="U40" i="1" s="1"/>
  <c r="S42" i="1"/>
  <c r="U42" i="1" s="1"/>
  <c r="S44" i="1"/>
  <c r="U44" i="1" s="1"/>
  <c r="R41" i="1"/>
  <c r="R43" i="1"/>
  <c r="T39" i="1"/>
  <c r="R39" i="1"/>
  <c r="Q41" i="1"/>
  <c r="Q43" i="1"/>
  <c r="Q39" i="1"/>
  <c r="V39" i="1" l="1"/>
  <c r="D57" i="1" s="1"/>
  <c r="I6" i="2"/>
  <c r="I8" i="2"/>
  <c r="I10" i="2"/>
  <c r="I7" i="2"/>
  <c r="I9" i="2"/>
  <c r="I5" i="2"/>
  <c r="K5" i="2" s="1"/>
  <c r="P48" i="2" l="1"/>
  <c r="R48" i="2" s="1"/>
  <c r="S51" i="1"/>
  <c r="T51" i="1" s="1"/>
  <c r="U51" i="1" s="1"/>
  <c r="V51" i="1" s="1"/>
  <c r="S53" i="1"/>
  <c r="T53" i="1" s="1"/>
  <c r="U53" i="1" s="1"/>
  <c r="V53" i="1" s="1"/>
  <c r="S55" i="1"/>
  <c r="T55" i="1" s="1"/>
  <c r="U55" i="1" s="1"/>
  <c r="V55" i="1" s="1"/>
  <c r="Y55" i="1" s="1"/>
  <c r="Z55" i="1" s="1"/>
  <c r="AA55" i="1" s="1"/>
  <c r="S52" i="1"/>
  <c r="T52" i="1" s="1"/>
  <c r="U52" i="1" s="1"/>
  <c r="V52" i="1" s="1"/>
  <c r="S54" i="1"/>
  <c r="T54" i="1" s="1"/>
  <c r="U54" i="1" s="1"/>
  <c r="V54" i="1" s="1"/>
  <c r="S50" i="1"/>
  <c r="T50" i="1" s="1"/>
  <c r="U50" i="1" s="1"/>
  <c r="V50" i="1" s="1"/>
  <c r="J5" i="2"/>
  <c r="J7" i="2"/>
  <c r="J8" i="2"/>
  <c r="K8" i="2"/>
  <c r="J9" i="2"/>
  <c r="K9" i="2"/>
  <c r="K10" i="2"/>
  <c r="J10" i="2"/>
  <c r="K6" i="2"/>
  <c r="J6" i="2"/>
  <c r="AG48" i="2" s="1"/>
  <c r="AN48" i="2" l="1"/>
  <c r="Y54" i="1"/>
  <c r="Z54" i="1" s="1"/>
  <c r="AA54" i="1" s="1"/>
  <c r="P64" i="2"/>
  <c r="R64" i="2" s="1"/>
  <c r="S64" i="2" s="1"/>
  <c r="AG52" i="2"/>
  <c r="AH48" i="2"/>
  <c r="AP48" i="2" s="1"/>
  <c r="AG50" i="2"/>
  <c r="AP50" i="2" s="1"/>
  <c r="P58" i="2"/>
  <c r="R58" i="2" s="1"/>
  <c r="T58" i="2" s="1"/>
  <c r="AI52" i="2"/>
  <c r="T64" i="2"/>
  <c r="AI20" i="2"/>
  <c r="P26" i="2"/>
  <c r="R26" i="2" s="1"/>
  <c r="P56" i="2"/>
  <c r="R56" i="2" s="1"/>
  <c r="P52" i="2"/>
  <c r="R52" i="2" s="1"/>
  <c r="P36" i="2"/>
  <c r="R36" i="2" s="1"/>
  <c r="P50" i="2"/>
  <c r="R50" i="2" s="1"/>
  <c r="P30" i="2"/>
  <c r="R30" i="2" s="1"/>
  <c r="P22" i="2"/>
  <c r="R22" i="2" s="1"/>
  <c r="P40" i="2"/>
  <c r="R40" i="2" s="1"/>
  <c r="P34" i="2"/>
  <c r="R34" i="2" s="1"/>
  <c r="AG22" i="2"/>
  <c r="AN22" i="2" s="1"/>
  <c r="AH20" i="2"/>
  <c r="AH22" i="2"/>
  <c r="AP22" i="2" s="1"/>
  <c r="AQ22" i="2" s="1"/>
  <c r="AG20" i="2"/>
  <c r="P20" i="2"/>
  <c r="R20" i="2" s="1"/>
  <c r="U20" i="2" s="1"/>
  <c r="P28" i="2"/>
  <c r="R28" i="2" s="1"/>
  <c r="T48" i="2"/>
  <c r="S48" i="2"/>
  <c r="U48" i="2"/>
  <c r="Y50" i="1"/>
  <c r="Z50" i="1" s="1"/>
  <c r="AA50" i="1" s="1"/>
  <c r="T20" i="2"/>
  <c r="Y51" i="1"/>
  <c r="Z51" i="1" s="1"/>
  <c r="AA51" i="1" s="1"/>
  <c r="Y52" i="1"/>
  <c r="Z52" i="1" s="1"/>
  <c r="AA52" i="1" s="1"/>
  <c r="Y53" i="1"/>
  <c r="Z53" i="1" s="1"/>
  <c r="AA53" i="1" s="1"/>
  <c r="AT48" i="2" l="1"/>
  <c r="AQ48" i="2"/>
  <c r="S58" i="2"/>
  <c r="U64" i="2"/>
  <c r="AQ50" i="2"/>
  <c r="AT50" i="2"/>
  <c r="U58" i="2"/>
  <c r="AS48" i="2"/>
  <c r="AO48" i="2"/>
  <c r="AJ32" i="2"/>
  <c r="AC32" i="2"/>
  <c r="S20" i="2"/>
  <c r="AN20" i="2"/>
  <c r="AO20" i="2" s="1"/>
  <c r="AP20" i="2"/>
  <c r="AQ20" i="2" s="1"/>
  <c r="AJ30" i="2" s="1"/>
  <c r="S22" i="2"/>
  <c r="T22" i="2"/>
  <c r="U22" i="2"/>
  <c r="AC30" i="2"/>
  <c r="S34" i="2"/>
  <c r="U34" i="2"/>
  <c r="T50" i="2"/>
  <c r="U50" i="2"/>
  <c r="S50" i="2"/>
  <c r="T52" i="2"/>
  <c r="U52" i="2"/>
  <c r="S52" i="2"/>
  <c r="S28" i="2"/>
  <c r="U28" i="2"/>
  <c r="T28" i="2"/>
  <c r="AO22" i="2"/>
  <c r="U40" i="2"/>
  <c r="S40" i="2"/>
  <c r="T40" i="2"/>
  <c r="S30" i="2"/>
  <c r="T30" i="2"/>
  <c r="U30" i="2"/>
  <c r="S36" i="2"/>
  <c r="T36" i="2"/>
  <c r="U36" i="2"/>
  <c r="T56" i="2"/>
  <c r="U56" i="2"/>
  <c r="S56" i="2"/>
  <c r="T26" i="2"/>
  <c r="U26" i="2"/>
  <c r="S26" i="2"/>
  <c r="AR22" i="2"/>
  <c r="AR20" i="2"/>
  <c r="AD68" i="2" l="1"/>
  <c r="AK68" i="2"/>
  <c r="AR48" i="2"/>
  <c r="AR50" i="2"/>
  <c r="AA68" i="2"/>
  <c r="AH68" i="2"/>
  <c r="AK64" i="2"/>
  <c r="AV48" i="2"/>
  <c r="AD64" i="2"/>
  <c r="AE66" i="2"/>
  <c r="AL66" i="2"/>
  <c r="AV50" i="2"/>
  <c r="AC64" i="2"/>
  <c r="AJ64" i="2"/>
  <c r="AB64" i="2"/>
  <c r="AI64" i="2"/>
  <c r="AB68" i="2"/>
  <c r="AI68" i="2"/>
  <c r="AJ66" i="2"/>
  <c r="AC66" i="2"/>
  <c r="AL64" i="2"/>
  <c r="AE64" i="2"/>
  <c r="AU22" i="2"/>
  <c r="AH32" i="2"/>
  <c r="AA32" i="2"/>
  <c r="AI32" i="2"/>
  <c r="AB32" i="2"/>
  <c r="AS20" i="2"/>
  <c r="AD30" i="2" s="1"/>
  <c r="AT20" i="2"/>
  <c r="AE30" i="2" s="1"/>
  <c r="AS22" i="2"/>
  <c r="AA30" i="2"/>
  <c r="AH30" i="2"/>
  <c r="AT22" i="2"/>
  <c r="AB30" i="2"/>
  <c r="AI30" i="2"/>
  <c r="AU20" i="2"/>
  <c r="AL68" i="2" l="1"/>
  <c r="AE68" i="2"/>
  <c r="AK30" i="2"/>
  <c r="AC68" i="2"/>
  <c r="AF68" i="2" s="1"/>
  <c r="AJ68" i="2"/>
  <c r="AM68" i="2" s="1"/>
  <c r="AL30" i="2"/>
  <c r="AA64" i="2"/>
  <c r="AF64" i="2" s="1"/>
  <c r="AX48" i="2" s="1"/>
  <c r="AH64" i="2"/>
  <c r="AM64" i="2" s="1"/>
  <c r="AY48" i="2" s="1"/>
  <c r="AH66" i="2"/>
  <c r="AM66" i="2" s="1"/>
  <c r="AY50" i="2" s="1"/>
  <c r="AA66" i="2"/>
  <c r="AF66" i="2" s="1"/>
  <c r="AX50" i="2" s="1"/>
  <c r="AL32" i="2"/>
  <c r="AE32" i="2"/>
  <c r="AK32" i="2"/>
  <c r="AD32" i="2"/>
  <c r="AF30" i="2"/>
  <c r="AX20" i="2" s="1"/>
  <c r="AV20" i="2"/>
  <c r="AV22" i="2"/>
  <c r="AM30" i="2"/>
  <c r="AY20" i="2" s="1"/>
  <c r="AF32" i="2" l="1"/>
  <c r="AX22" i="2" s="1"/>
  <c r="AM32" i="2"/>
  <c r="AY22" i="2" s="1"/>
</calcChain>
</file>

<file path=xl/comments1.xml><?xml version="1.0" encoding="utf-8"?>
<comments xmlns="http://schemas.openxmlformats.org/spreadsheetml/2006/main">
  <authors>
    <author>mzddsk</author>
    <author>USER</author>
  </authors>
  <commentList>
    <comment ref="AE17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F17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AU17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  <comment ref="AE45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F45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AU45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</commentList>
</comments>
</file>

<file path=xl/sharedStrings.xml><?xml version="1.0" encoding="utf-8"?>
<sst xmlns="http://schemas.openxmlformats.org/spreadsheetml/2006/main" count="614" uniqueCount="284">
  <si>
    <t>A. Data Bahan Struktur</t>
  </si>
  <si>
    <t>Kuat Tekan Beton</t>
  </si>
  <si>
    <t>Fc</t>
  </si>
  <si>
    <t>Mpa</t>
  </si>
  <si>
    <t>β₁</t>
  </si>
  <si>
    <t>fc  ≤ 30 Mpa</t>
  </si>
  <si>
    <t>Tegangan leleh baja untuk tegangan lentur</t>
  </si>
  <si>
    <t>Fy</t>
  </si>
  <si>
    <t>B. Data Plat Lantai</t>
  </si>
  <si>
    <t>Tabel Tebal Plat Lantai</t>
  </si>
  <si>
    <t>Type plat</t>
  </si>
  <si>
    <t>Ly</t>
  </si>
  <si>
    <t xml:space="preserve">Lx </t>
  </si>
  <si>
    <t>β</t>
  </si>
  <si>
    <t xml:space="preserve">h min </t>
  </si>
  <si>
    <t xml:space="preserve">h max </t>
  </si>
  <si>
    <t xml:space="preserve">h dipakai </t>
  </si>
  <si>
    <t>(m)</t>
  </si>
  <si>
    <t>Ly/Lx</t>
  </si>
  <si>
    <t>Panjang bentang plat arah x, (Lx)</t>
  </si>
  <si>
    <t>A</t>
  </si>
  <si>
    <t>panjang bentang plat arah y, (Ly)</t>
  </si>
  <si>
    <t>tebal plat lantai, (h)</t>
  </si>
  <si>
    <t>β1</t>
  </si>
  <si>
    <t>= 0,85</t>
  </si>
  <si>
    <t>,untuk fc’ ≤ 30 MPa</t>
  </si>
  <si>
    <t>koefisien momen plat untuk, (β)</t>
  </si>
  <si>
    <t>= 0.85 – ((fc’ – 30)/7)0.05</t>
  </si>
  <si>
    <t>,untuk  fc’ &gt;30 MPa</t>
  </si>
  <si>
    <t>= 0.65 (minimum)</t>
  </si>
  <si>
    <t>Ln</t>
  </si>
  <si>
    <t>C. Beban Plat Lantai</t>
  </si>
  <si>
    <t>1. Beban Mati (Dead Load)</t>
  </si>
  <si>
    <t>No</t>
  </si>
  <si>
    <t>Jenis Beban Mati</t>
  </si>
  <si>
    <t>Berat Satuan</t>
  </si>
  <si>
    <t>Tebal (m)</t>
  </si>
  <si>
    <t>q(KN/m²)</t>
  </si>
  <si>
    <t>Berat sendiri plat lantai (KN/m³)</t>
  </si>
  <si>
    <t>Berat spasi lantai (KN/m³)</t>
  </si>
  <si>
    <t>Berat Keramik</t>
  </si>
  <si>
    <t>-</t>
  </si>
  <si>
    <t>Urugan Pasir</t>
  </si>
  <si>
    <t>Berat plafon dan rangka (KN/m³)</t>
  </si>
  <si>
    <t>Total beban mati</t>
  </si>
  <si>
    <t>qD</t>
  </si>
  <si>
    <t>2. Beban Hidup (Live Load)</t>
  </si>
  <si>
    <t>Beban hidup pada lantai bangunan</t>
  </si>
  <si>
    <t>kg/m²</t>
  </si>
  <si>
    <t>KN/m²</t>
  </si>
  <si>
    <t>3. Beban  Rencana Terfaktor</t>
  </si>
  <si>
    <t>Beban rencana terfaktor</t>
  </si>
  <si>
    <t>qu</t>
  </si>
  <si>
    <t>4. Momen Plat Akibat Beban Terfaktor</t>
  </si>
  <si>
    <t>Tabel momen plat lantai</t>
  </si>
  <si>
    <t xml:space="preserve">Ly </t>
  </si>
  <si>
    <t>Perb. Ly/Lx</t>
  </si>
  <si>
    <t>Clx</t>
  </si>
  <si>
    <t>Cly</t>
  </si>
  <si>
    <t>Ctx</t>
  </si>
  <si>
    <t>Cty</t>
  </si>
  <si>
    <t>Mulx</t>
  </si>
  <si>
    <t>Muly</t>
  </si>
  <si>
    <t>Mutx</t>
  </si>
  <si>
    <t>Muty</t>
  </si>
  <si>
    <t xml:space="preserve">Mu Max </t>
  </si>
  <si>
    <t>(KNm/m)</t>
  </si>
  <si>
    <t>Momen lapangan arah x,</t>
  </si>
  <si>
    <t xml:space="preserve">Mulx </t>
  </si>
  <si>
    <t>Clx*0.001*qu*Lx²</t>
  </si>
  <si>
    <t>Momen lapangan arah y,</t>
  </si>
  <si>
    <t xml:space="preserve">Muly </t>
  </si>
  <si>
    <t>Cly*0.001*qu*Lx²</t>
  </si>
  <si>
    <t>Momen tumpuan arah x,</t>
  </si>
  <si>
    <t xml:space="preserve">Mutx </t>
  </si>
  <si>
    <t>Ctx*0.001*qu*Lx²</t>
  </si>
  <si>
    <t>Momen tumpuan arah y,</t>
  </si>
  <si>
    <t>Cty*0.001*qu*Lx²</t>
  </si>
  <si>
    <t>Momen rencana (Maks) plat,</t>
  </si>
  <si>
    <t>D. Penulangan Plat</t>
  </si>
  <si>
    <t>Tabel Penulangan Plat Lantai</t>
  </si>
  <si>
    <t>Type Plat</t>
  </si>
  <si>
    <t xml:space="preserve">h </t>
  </si>
  <si>
    <t xml:space="preserve">Ø </t>
  </si>
  <si>
    <t xml:space="preserve">ts </t>
  </si>
  <si>
    <t>ρb</t>
  </si>
  <si>
    <t>ᶲ</t>
  </si>
  <si>
    <t>ds = d'</t>
  </si>
  <si>
    <t xml:space="preserve">d </t>
  </si>
  <si>
    <t xml:space="preserve">b </t>
  </si>
  <si>
    <t xml:space="preserve">Rn </t>
  </si>
  <si>
    <t>ρ</t>
  </si>
  <si>
    <t>ρmin</t>
  </si>
  <si>
    <t>ρmax</t>
  </si>
  <si>
    <t>ρ (dipakai)</t>
  </si>
  <si>
    <t xml:space="preserve">As </t>
  </si>
  <si>
    <t xml:space="preserve">s </t>
  </si>
  <si>
    <t xml:space="preserve">Smax </t>
  </si>
  <si>
    <t xml:space="preserve">At </t>
  </si>
  <si>
    <t>Untuk  : fc' ≤ 30 Mpa</t>
  </si>
  <si>
    <t>(mm)</t>
  </si>
  <si>
    <t>(kN.m/m)</t>
  </si>
  <si>
    <t>(mm²)</t>
  </si>
  <si>
    <t>Faktor bentuk distribusi tegangan beton,</t>
  </si>
  <si>
    <t>Rasio tulangan pada kondisi balance,</t>
  </si>
  <si>
    <t>Faktor Reduksi Kekuatan lentur,</t>
  </si>
  <si>
    <t>Jarak tulangan Terhadap sisi luar beton,</t>
  </si>
  <si>
    <t>ds=d'</t>
  </si>
  <si>
    <t>ts+Ø/2</t>
  </si>
  <si>
    <t>mm</t>
  </si>
  <si>
    <t>Tebal efektif plat lantai,</t>
  </si>
  <si>
    <t>d</t>
  </si>
  <si>
    <t>h-ds</t>
  </si>
  <si>
    <t>Ditinjau plat lantai selebar 1 m,</t>
  </si>
  <si>
    <t>b</t>
  </si>
  <si>
    <t>Momen nominal rencana,</t>
  </si>
  <si>
    <t>Mn</t>
  </si>
  <si>
    <t>Mu/Ø</t>
  </si>
  <si>
    <t>KNm</t>
  </si>
  <si>
    <t>Faktor Tahanan momen,</t>
  </si>
  <si>
    <t>Rn</t>
  </si>
  <si>
    <t>Mn*10^-6/ (b*d²)</t>
  </si>
  <si>
    <t>Rasio Tulangan yang diperlukan,</t>
  </si>
  <si>
    <t>Rasio Tulangan minimum,</t>
  </si>
  <si>
    <t>→</t>
  </si>
  <si>
    <t>Rasio tulangan yang digunakan,</t>
  </si>
  <si>
    <t>Luas tulangan yang diperlukan,</t>
  </si>
  <si>
    <t>As</t>
  </si>
  <si>
    <t>m</t>
  </si>
  <si>
    <t>mm²</t>
  </si>
  <si>
    <t>Jarak tulangan yang diperlukan,</t>
  </si>
  <si>
    <t>s</t>
  </si>
  <si>
    <t>∏/4*Ø²*b/As</t>
  </si>
  <si>
    <t>Jarak tulangan Maksimum,</t>
  </si>
  <si>
    <t>Smax</t>
  </si>
  <si>
    <t>2*h</t>
  </si>
  <si>
    <t>Jarak Sengkang yang harus digunakan</t>
  </si>
  <si>
    <t>Diambil jarak sengkang:</t>
  </si>
  <si>
    <t>Digunakan tulangan,</t>
  </si>
  <si>
    <t>luas tulangan terpakai,</t>
  </si>
  <si>
    <t>At</t>
  </si>
  <si>
    <t>∏/4*Ø²*b/s</t>
  </si>
  <si>
    <t>1,2*qD + 1,6*qL</t>
  </si>
  <si>
    <t>qL</t>
  </si>
  <si>
    <t>(0.85*fc'/fy)*β₁*(600/(600+fy))</t>
  </si>
  <si>
    <t>0.85*fc'/fy*[1-√[1-(2*Rn/(0.85*fc'))]</t>
  </si>
  <si>
    <t>spakai</t>
  </si>
  <si>
    <t>1. Perhitungan q equivalen plat</t>
  </si>
  <si>
    <t>qe          =</t>
  </si>
  <si>
    <t>Nama</t>
  </si>
  <si>
    <t>Lx</t>
  </si>
  <si>
    <t>qu Plat</t>
  </si>
  <si>
    <t>qe</t>
  </si>
  <si>
    <t>Plat</t>
  </si>
  <si>
    <t>kN/m2</t>
  </si>
  <si>
    <t>kN/m'</t>
  </si>
  <si>
    <t>qu Plat :</t>
  </si>
  <si>
    <t>kN/m²</t>
  </si>
  <si>
    <t>(ambil dari perhitungan beban plat)</t>
  </si>
  <si>
    <t>0,5 * ((Ly / Lx) - 0,5 )* q * Lx²</t>
  </si>
  <si>
    <r>
      <t>0,25 *  q * Lx</t>
    </r>
    <r>
      <rPr>
        <sz val="11"/>
        <color theme="1"/>
        <rFont val="Calibri"/>
        <family val="2"/>
      </rPr>
      <t>²</t>
    </r>
  </si>
  <si>
    <t>a</t>
  </si>
  <si>
    <t>c</t>
  </si>
  <si>
    <t>e</t>
  </si>
  <si>
    <t>f</t>
  </si>
  <si>
    <t>Mu</t>
  </si>
  <si>
    <t>Momen ultimit</t>
  </si>
  <si>
    <t>Mu Max pakai</t>
  </si>
  <si>
    <t xml:space="preserve"> </t>
  </si>
  <si>
    <t xml:space="preserve"> -</t>
  </si>
  <si>
    <t>Tebal Selimut</t>
  </si>
  <si>
    <t>ts</t>
  </si>
  <si>
    <t>Mn = Mu/ᶲ</t>
  </si>
  <si>
    <t>Diameter besi</t>
  </si>
  <si>
    <t>2. Perhitungan Momen Pada Balok Memanjang / Arah Y</t>
  </si>
  <si>
    <t>fy</t>
  </si>
  <si>
    <t>=</t>
  </si>
  <si>
    <t>As Balok</t>
  </si>
  <si>
    <t>h</t>
  </si>
  <si>
    <t>hmin</t>
  </si>
  <si>
    <t>h (dipakai)</t>
  </si>
  <si>
    <t>b (min)</t>
  </si>
  <si>
    <t>b (dipakai)</t>
  </si>
  <si>
    <t>qu BS</t>
  </si>
  <si>
    <t>qe Plat</t>
  </si>
  <si>
    <t>qu  Tembok</t>
  </si>
  <si>
    <t>qu total</t>
  </si>
  <si>
    <t>Momen</t>
  </si>
  <si>
    <t>V (ki)</t>
  </si>
  <si>
    <t>V (ka)</t>
  </si>
  <si>
    <t>Ket</t>
  </si>
  <si>
    <t>d'</t>
  </si>
  <si>
    <t>kN/m</t>
  </si>
  <si>
    <t>kN.m</t>
  </si>
  <si>
    <t>KN</t>
  </si>
  <si>
    <t>Bj Beton</t>
  </si>
  <si>
    <t>kN/m3</t>
  </si>
  <si>
    <t>fc</t>
  </si>
  <si>
    <t>L:</t>
  </si>
  <si>
    <t>Note :</t>
  </si>
  <si>
    <t>Balok khusus</t>
  </si>
  <si>
    <t>(3-4)</t>
  </si>
  <si>
    <t>Balok anak</t>
  </si>
  <si>
    <t>Tebal Tembok</t>
  </si>
  <si>
    <t>Tinggi Tembok</t>
  </si>
  <si>
    <t>Berat Jenis tembok</t>
  </si>
  <si>
    <t>(2-3)</t>
  </si>
  <si>
    <t>plat a</t>
  </si>
  <si>
    <t>plat b</t>
  </si>
  <si>
    <t>(4-7)</t>
  </si>
  <si>
    <t>A'</t>
  </si>
  <si>
    <t>plat d</t>
  </si>
  <si>
    <t>B</t>
  </si>
  <si>
    <t>plat b+c</t>
  </si>
  <si>
    <t>C</t>
  </si>
  <si>
    <t>(7-8)</t>
  </si>
  <si>
    <t>D</t>
  </si>
  <si>
    <t>plat c</t>
  </si>
  <si>
    <t>plat f</t>
  </si>
  <si>
    <t>3. Perhitungan Momen Pada Balok Melintang / Arah X</t>
  </si>
  <si>
    <t>(A-B)</t>
  </si>
  <si>
    <t>Plat a</t>
  </si>
  <si>
    <t>Plat a+b</t>
  </si>
  <si>
    <t>(B-D)</t>
  </si>
  <si>
    <t>Plat c</t>
  </si>
  <si>
    <t>Plat c+e</t>
  </si>
  <si>
    <t>plat e+e</t>
  </si>
  <si>
    <t>(C-D)</t>
  </si>
  <si>
    <t>Perhitungan Momen Pada Balok Khusus Memanjang / Arah Y</t>
  </si>
  <si>
    <t>Perhitungan Manual</t>
  </si>
  <si>
    <t>REAKSI TUMPUAN</t>
  </si>
  <si>
    <r>
      <t xml:space="preserve">P </t>
    </r>
    <r>
      <rPr>
        <b/>
        <sz val="11"/>
        <color indexed="8"/>
        <rFont val="Calibri"/>
        <family val="2"/>
      </rPr>
      <t>↑</t>
    </r>
  </si>
  <si>
    <r>
      <t xml:space="preserve">q1 </t>
    </r>
    <r>
      <rPr>
        <b/>
        <sz val="11"/>
        <color indexed="8"/>
        <rFont val="Calibri"/>
        <family val="2"/>
      </rPr>
      <t>↑</t>
    </r>
  </si>
  <si>
    <r>
      <t xml:space="preserve">q2 </t>
    </r>
    <r>
      <rPr>
        <b/>
        <sz val="11"/>
        <color indexed="8"/>
        <rFont val="Calibri"/>
        <family val="2"/>
      </rPr>
      <t>↑</t>
    </r>
  </si>
  <si>
    <r>
      <t xml:space="preserve">M4 </t>
    </r>
    <r>
      <rPr>
        <b/>
        <sz val="11"/>
        <color indexed="8"/>
        <rFont val="Calibri"/>
        <family val="2"/>
      </rPr>
      <t>↑</t>
    </r>
  </si>
  <si>
    <t>Jumlah ↑</t>
  </si>
  <si>
    <t>L1</t>
  </si>
  <si>
    <r>
      <t xml:space="preserve">M4 </t>
    </r>
    <r>
      <rPr>
        <b/>
        <sz val="11"/>
        <color indexed="8"/>
        <rFont val="Calibri"/>
        <family val="2"/>
      </rPr>
      <t>↓</t>
    </r>
  </si>
  <si>
    <t>L2</t>
  </si>
  <si>
    <t>L total</t>
  </si>
  <si>
    <t>q1</t>
  </si>
  <si>
    <t>Q1</t>
  </si>
  <si>
    <t>q2</t>
  </si>
  <si>
    <t>Q2</t>
  </si>
  <si>
    <t>P1</t>
  </si>
  <si>
    <t>Momen (ki)</t>
  </si>
  <si>
    <t>Momen (ka)</t>
  </si>
  <si>
    <t>Momen (lap)</t>
  </si>
  <si>
    <t>Momen dipakai</t>
  </si>
  <si>
    <t>Perhitungan Momen Lap. pada lampiran</t>
  </si>
  <si>
    <t>KN ↑</t>
  </si>
  <si>
    <t>Plat e</t>
  </si>
  <si>
    <t>Plat d</t>
  </si>
  <si>
    <r>
      <t>M7</t>
    </r>
    <r>
      <rPr>
        <b/>
        <sz val="11"/>
        <color indexed="8"/>
        <rFont val="Calibri"/>
        <family val="2"/>
      </rPr>
      <t>↓</t>
    </r>
  </si>
  <si>
    <r>
      <t xml:space="preserve">M7 </t>
    </r>
    <r>
      <rPr>
        <b/>
        <sz val="11"/>
        <color indexed="8"/>
        <rFont val="Calibri"/>
        <family val="2"/>
      </rPr>
      <t>↑</t>
    </r>
  </si>
  <si>
    <r>
      <t xml:space="preserve">M7 </t>
    </r>
    <r>
      <rPr>
        <b/>
        <sz val="11"/>
        <color indexed="8"/>
        <rFont val="Calibri"/>
        <family val="2"/>
      </rPr>
      <t>↓</t>
    </r>
  </si>
  <si>
    <t>Perhitungan Momen Pada Balok Khusus Melintang / Arah X</t>
  </si>
  <si>
    <t>Plat b</t>
  </si>
  <si>
    <t>MA</t>
  </si>
  <si>
    <t>MB</t>
  </si>
  <si>
    <t>M8</t>
  </si>
  <si>
    <t>Plat f</t>
  </si>
  <si>
    <t>P</t>
  </si>
  <si>
    <t>q1 =</t>
  </si>
  <si>
    <t>bs balok+ qe plat e trap + q ddg</t>
  </si>
  <si>
    <t xml:space="preserve">q2 = </t>
  </si>
  <si>
    <t>bs balok+ qe plat e trap + qe sgt f</t>
  </si>
  <si>
    <t>P =</t>
  </si>
  <si>
    <t>V dr reaksi balok as C</t>
  </si>
  <si>
    <t>Mb =</t>
  </si>
  <si>
    <t>Mb=</t>
  </si>
  <si>
    <r>
      <rPr>
        <sz val="16"/>
        <color theme="1"/>
        <rFont val="Arial"/>
        <family val="2"/>
      </rPr>
      <t>ά</t>
    </r>
    <r>
      <rPr>
        <sz val="16"/>
        <color theme="1"/>
        <rFont val="Calibri"/>
        <family val="2"/>
      </rPr>
      <t xml:space="preserve"> =</t>
    </r>
  </si>
  <si>
    <r>
      <t>qaL</t>
    </r>
    <r>
      <rPr>
        <sz val="16"/>
        <color theme="1"/>
        <rFont val="Arial"/>
        <family val="2"/>
      </rPr>
      <t>ά</t>
    </r>
    <r>
      <rPr>
        <sz val="16"/>
        <color theme="1"/>
        <rFont val="Calibri"/>
        <family val="2"/>
      </rPr>
      <t>/12 =</t>
    </r>
  </si>
  <si>
    <r>
      <t>(3</t>
    </r>
    <r>
      <rPr>
        <sz val="16"/>
        <color theme="1"/>
        <rFont val="Arial"/>
        <family val="2"/>
      </rPr>
      <t>ά</t>
    </r>
    <r>
      <rPr>
        <sz val="16"/>
        <color theme="1"/>
        <rFont val="Calibri"/>
        <family val="2"/>
      </rPr>
      <t>^2-8</t>
    </r>
    <r>
      <rPr>
        <sz val="16"/>
        <color theme="1"/>
        <rFont val="Arial"/>
        <family val="2"/>
      </rPr>
      <t>ά</t>
    </r>
    <r>
      <rPr>
        <sz val="16"/>
        <color theme="1"/>
        <rFont val="Calibri"/>
        <family val="2"/>
      </rPr>
      <t>+6)=</t>
    </r>
  </si>
  <si>
    <t>Mb total =</t>
  </si>
  <si>
    <t>Md/L =</t>
  </si>
  <si>
    <t>qu plat lantai =</t>
  </si>
  <si>
    <t>Md =</t>
  </si>
  <si>
    <t>Md total =</t>
  </si>
  <si>
    <t>kontrol</t>
  </si>
  <si>
    <t>L1 =150</t>
  </si>
  <si>
    <t>L2=200</t>
  </si>
  <si>
    <t>Bidang D</t>
  </si>
  <si>
    <t>Mmax atau Mlap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</si>
</sst>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64" formatCode="0.000"/>
    <numFmt numFmtId="165" formatCode="0.0"/>
    <numFmt numFmtId="166" formatCode="0.00000"/>
    <numFmt numFmtId="167" formatCode="0.0000"/>
    <numFmt numFmtId="168" formatCode="_-* #,##0.000_-;\-* #,##0.000_-;_-* &quot;-&quot;_-;_-@_-"/>
    <numFmt numFmtId="169" formatCode="_-* #,##0.000_-;\-* #,##0.000_-;_-* &quot;-&quot;?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0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166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4" borderId="0" xfId="0" applyFill="1"/>
    <xf numFmtId="0" fontId="0" fillId="3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3" borderId="2" xfId="0" applyFill="1" applyBorder="1"/>
    <xf numFmtId="0" fontId="0" fillId="3" borderId="3" xfId="0" applyFill="1" applyBorder="1"/>
    <xf numFmtId="164" fontId="0" fillId="2" borderId="1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Fill="1" applyBorder="1" applyAlignment="1">
      <alignment horizontal="center"/>
    </xf>
    <xf numFmtId="164" fontId="0" fillId="5" borderId="2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6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164" fontId="0" fillId="0" borderId="2" xfId="0" applyNumberFormat="1" applyFill="1" applyBorder="1"/>
    <xf numFmtId="0" fontId="0" fillId="0" borderId="3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4" xfId="0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7" borderId="0" xfId="0" applyFont="1" applyFill="1" applyBorder="1" applyAlignment="1">
      <alignment horizontal="center"/>
    </xf>
    <xf numFmtId="0" fontId="0" fillId="7" borderId="15" xfId="0" applyFont="1" applyFill="1" applyBorder="1" applyAlignment="1">
      <alignment horizontal="right"/>
    </xf>
    <xf numFmtId="0" fontId="0" fillId="7" borderId="8" xfId="0" applyFill="1" applyBorder="1" applyAlignment="1">
      <alignment horizontal="center"/>
    </xf>
    <xf numFmtId="0" fontId="0" fillId="0" borderId="14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7" borderId="11" xfId="0" applyFill="1" applyBorder="1" applyAlignment="1">
      <alignment horizontal="right"/>
    </xf>
    <xf numFmtId="0" fontId="5" fillId="7" borderId="0" xfId="0" applyFont="1" applyFill="1" applyBorder="1" applyAlignment="1">
      <alignment horizontal="left"/>
    </xf>
    <xf numFmtId="1" fontId="0" fillId="0" borderId="14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7" borderId="1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2" fontId="0" fillId="7" borderId="13" xfId="0" applyNumberFormat="1" applyFill="1" applyBorder="1" applyAlignment="1">
      <alignment horizontal="center"/>
    </xf>
    <xf numFmtId="2" fontId="0" fillId="7" borderId="3" xfId="0" applyNumberFormat="1" applyFill="1" applyBorder="1" applyAlignment="1">
      <alignment horizontal="center"/>
    </xf>
    <xf numFmtId="2" fontId="0" fillId="7" borderId="7" xfId="0" applyNumberFormat="1" applyFill="1" applyBorder="1" applyAlignment="1">
      <alignment horizontal="center"/>
    </xf>
    <xf numFmtId="2" fontId="0" fillId="0" borderId="14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14" xfId="0" applyFont="1" applyFill="1" applyBorder="1" applyAlignment="1"/>
    <xf numFmtId="2" fontId="0" fillId="0" borderId="0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2" fontId="0" fillId="7" borderId="11" xfId="0" applyNumberForma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4" xfId="0" applyFill="1" applyBorder="1"/>
    <xf numFmtId="0" fontId="0" fillId="0" borderId="0" xfId="0" applyFill="1" applyBorder="1"/>
    <xf numFmtId="2" fontId="0" fillId="7" borderId="0" xfId="0" applyNumberFormat="1" applyFill="1" applyBorder="1" applyAlignment="1">
      <alignment horizontal="center"/>
    </xf>
    <xf numFmtId="2" fontId="0" fillId="7" borderId="12" xfId="0" applyNumberForma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/>
    </xf>
    <xf numFmtId="1" fontId="0" fillId="0" borderId="13" xfId="0" applyNumberFormat="1" applyFont="1" applyFill="1" applyBorder="1" applyAlignment="1">
      <alignment horizontal="center"/>
    </xf>
    <xf numFmtId="1" fontId="0" fillId="0" borderId="7" xfId="0" applyNumberFormat="1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9" xfId="0" applyFill="1" applyBorder="1"/>
    <xf numFmtId="0" fontId="0" fillId="0" borderId="13" xfId="0" applyFill="1" applyBorder="1"/>
    <xf numFmtId="0" fontId="0" fillId="0" borderId="1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2" fontId="0" fillId="0" borderId="7" xfId="0" applyNumberFormat="1" applyFont="1" applyFill="1" applyBorder="1" applyAlignment="1">
      <alignment horizontal="center"/>
    </xf>
    <xf numFmtId="2" fontId="0" fillId="0" borderId="11" xfId="0" applyNumberFormat="1" applyFont="1" applyFill="1" applyBorder="1" applyAlignment="1">
      <alignment horizontal="center"/>
    </xf>
    <xf numFmtId="2" fontId="0" fillId="0" borderId="12" xfId="0" applyNumberFormat="1" applyFont="1" applyFill="1" applyBorder="1" applyAlignment="1">
      <alignment horizontal="center"/>
    </xf>
    <xf numFmtId="2" fontId="0" fillId="0" borderId="15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2" fontId="0" fillId="0" borderId="13" xfId="0" applyNumberFormat="1" applyFont="1" applyFill="1" applyBorder="1"/>
    <xf numFmtId="2" fontId="0" fillId="0" borderId="2" xfId="0" applyNumberFormat="1" applyFont="1" applyFill="1" applyBorder="1" applyAlignment="1">
      <alignment horizontal="center"/>
    </xf>
    <xf numFmtId="164" fontId="0" fillId="0" borderId="13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2" fontId="0" fillId="0" borderId="0" xfId="0" applyNumberFormat="1" applyFill="1" applyBorder="1"/>
    <xf numFmtId="0" fontId="0" fillId="0" borderId="0" xfId="0" applyFont="1" applyFill="1" applyBorder="1"/>
    <xf numFmtId="0" fontId="0" fillId="0" borderId="11" xfId="0" applyFill="1" applyBorder="1" applyAlignment="1">
      <alignment horizontal="center"/>
    </xf>
    <xf numFmtId="164" fontId="0" fillId="0" borderId="11" xfId="0" applyNumberFormat="1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5" xfId="0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7" borderId="15" xfId="0" applyNumberFormat="1" applyFont="1" applyFill="1" applyBorder="1" applyAlignment="1">
      <alignment horizontal="left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right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2" fontId="0" fillId="0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0" xfId="0" quotePrefix="1"/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164" fontId="0" fillId="8" borderId="12" xfId="0" applyNumberFormat="1" applyFill="1" applyBorder="1" applyAlignment="1">
      <alignment horizont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" fontId="0" fillId="8" borderId="2" xfId="0" applyNumberFormat="1" applyFont="1" applyFill="1" applyBorder="1" applyAlignment="1">
      <alignment horizontal="center"/>
    </xf>
    <xf numFmtId="1" fontId="0" fillId="8" borderId="7" xfId="0" applyNumberFormat="1" applyFont="1" applyFill="1" applyBorder="1" applyAlignment="1">
      <alignment horizontal="center"/>
    </xf>
    <xf numFmtId="2" fontId="0" fillId="8" borderId="8" xfId="0" applyNumberFormat="1" applyFont="1" applyFill="1" applyBorder="1" applyAlignment="1">
      <alignment horizontal="center"/>
    </xf>
    <xf numFmtId="0" fontId="0" fillId="8" borderId="2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0" fillId="8" borderId="9" xfId="0" applyFont="1" applyFill="1" applyBorder="1" applyAlignment="1">
      <alignment horizontal="center"/>
    </xf>
    <xf numFmtId="0" fontId="0" fillId="8" borderId="2" xfId="0" applyFill="1" applyBorder="1"/>
    <xf numFmtId="0" fontId="0" fillId="8" borderId="9" xfId="0" applyFill="1" applyBorder="1"/>
    <xf numFmtId="0" fontId="0" fillId="8" borderId="10" xfId="0" applyFont="1" applyFill="1" applyBorder="1" applyAlignment="1">
      <alignment horizontal="center"/>
    </xf>
    <xf numFmtId="0" fontId="0" fillId="8" borderId="13" xfId="0" applyFont="1" applyFill="1" applyBorder="1" applyAlignment="1">
      <alignment horizontal="center"/>
    </xf>
    <xf numFmtId="2" fontId="0" fillId="8" borderId="7" xfId="0" applyNumberFormat="1" applyFont="1" applyFill="1" applyBorder="1" applyAlignment="1">
      <alignment horizontal="center"/>
    </xf>
    <xf numFmtId="164" fontId="0" fillId="8" borderId="3" xfId="0" applyNumberFormat="1" applyFont="1" applyFill="1" applyBorder="1" applyAlignment="1">
      <alignment horizontal="center"/>
    </xf>
    <xf numFmtId="164" fontId="0" fillId="8" borderId="11" xfId="0" applyNumberFormat="1" applyFont="1" applyFill="1" applyBorder="1" applyAlignment="1">
      <alignment horizontal="center"/>
    </xf>
    <xf numFmtId="164" fontId="0" fillId="8" borderId="12" xfId="0" applyNumberFormat="1" applyFont="1" applyFill="1" applyBorder="1" applyAlignment="1">
      <alignment horizontal="center"/>
    </xf>
    <xf numFmtId="164" fontId="0" fillId="8" borderId="15" xfId="0" applyNumberFormat="1" applyFont="1" applyFill="1" applyBorder="1" applyAlignment="1">
      <alignment horizontal="center"/>
    </xf>
    <xf numFmtId="164" fontId="0" fillId="8" borderId="3" xfId="0" applyNumberFormat="1" applyFill="1" applyBorder="1" applyAlignment="1">
      <alignment horizontal="center"/>
    </xf>
    <xf numFmtId="164" fontId="0" fillId="8" borderId="11" xfId="0" applyNumberForma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8" fontId="0" fillId="0" borderId="0" xfId="1" applyNumberFormat="1" applyFont="1"/>
    <xf numFmtId="169" fontId="0" fillId="0" borderId="0" xfId="0" applyNumberFormat="1"/>
    <xf numFmtId="164" fontId="11" fillId="8" borderId="11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" fontId="2" fillId="6" borderId="8" xfId="0" applyNumberFormat="1" applyFont="1" applyFill="1" applyBorder="1" applyAlignment="1">
      <alignment horizontal="center" vertical="center"/>
    </xf>
    <xf numFmtId="1" fontId="2" fillId="6" borderId="14" xfId="0" applyNumberFormat="1" applyFont="1" applyFill="1" applyBorder="1" applyAlignment="1">
      <alignment horizontal="center" vertical="center"/>
    </xf>
    <xf numFmtId="1" fontId="2" fillId="6" borderId="9" xfId="0" applyNumberFormat="1" applyFont="1" applyFill="1" applyBorder="1" applyAlignment="1">
      <alignment horizontal="center" vertical="center"/>
    </xf>
    <xf numFmtId="1" fontId="2" fillId="6" borderId="11" xfId="0" applyNumberFormat="1" applyFont="1" applyFill="1" applyBorder="1" applyAlignment="1">
      <alignment horizontal="center" vertical="center"/>
    </xf>
    <xf numFmtId="1" fontId="2" fillId="6" borderId="15" xfId="0" applyNumberFormat="1" applyFont="1" applyFill="1" applyBorder="1" applyAlignment="1">
      <alignment horizontal="center" vertical="center"/>
    </xf>
    <xf numFmtId="1" fontId="2" fillId="6" borderId="12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64" fontId="0" fillId="8" borderId="11" xfId="0" applyNumberFormat="1" applyFill="1" applyBorder="1" applyAlignment="1">
      <alignment horizontal="center"/>
    </xf>
    <xf numFmtId="164" fontId="0" fillId="8" borderId="12" xfId="0" applyNumberForma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5" fillId="0" borderId="0" xfId="0" applyFont="1"/>
    <xf numFmtId="164" fontId="0" fillId="8" borderId="2" xfId="0" applyNumberFormat="1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164" fontId="0" fillId="8" borderId="2" xfId="0" applyNumberFormat="1" applyFill="1" applyBorder="1"/>
    <xf numFmtId="164" fontId="0" fillId="0" borderId="0" xfId="0" applyNumberFormat="1"/>
    <xf numFmtId="164" fontId="16" fillId="8" borderId="11" xfId="0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2295525</xdr:colOff>
      <xdr:row>5</xdr:row>
      <xdr:rowOff>38100</xdr:rowOff>
    </xdr:from>
    <xdr:to>
      <xdr:col>3</xdr:col>
      <xdr:colOff>393989</xdr:colOff>
      <xdr:row>8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15" t="17123" r="10097" b="47945"/>
        <a:stretch>
          <a:fillRect/>
        </a:stretch>
      </xdr:blipFill>
      <xdr:spPr bwMode="auto">
        <a:xfrm>
          <a:off x="2638425" y="990600"/>
          <a:ext cx="1451264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226868</xdr:colOff>
      <xdr:row>5</xdr:row>
      <xdr:rowOff>143741</xdr:rowOff>
    </xdr:from>
    <xdr:to>
      <xdr:col>6</xdr:col>
      <xdr:colOff>142009</xdr:colOff>
      <xdr:row>8</xdr:row>
      <xdr:rowOff>86591</xdr:rowOff>
    </xdr:to>
    <xdr:pic>
      <xdr:nvPicPr>
        <xdr:cNvPr id="3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8" t="19643" r="13927" b="52682"/>
        <a:stretch>
          <a:fillRect/>
        </a:stretch>
      </xdr:blipFill>
      <xdr:spPr bwMode="auto">
        <a:xfrm>
          <a:off x="4532168" y="1096241"/>
          <a:ext cx="1410566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371475</xdr:colOff>
      <xdr:row>2</xdr:row>
      <xdr:rowOff>28575</xdr:rowOff>
    </xdr:from>
    <xdr:to>
      <xdr:col>9</xdr:col>
      <xdr:colOff>542925</xdr:colOff>
      <xdr:row>2</xdr:row>
      <xdr:rowOff>161925</xdr:rowOff>
    </xdr:to>
    <xdr:sp macro="" textlink="">
      <xdr:nvSpPr>
        <xdr:cNvPr id="2" name="Isosceles Triangle 1"/>
        <xdr:cNvSpPr/>
      </xdr:nvSpPr>
      <xdr:spPr>
        <a:xfrm>
          <a:off x="6457950" y="409575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10</xdr:col>
      <xdr:colOff>380999</xdr:colOff>
      <xdr:row>2</xdr:row>
      <xdr:rowOff>38100</xdr:rowOff>
    </xdr:from>
    <xdr:to>
      <xdr:col>10</xdr:col>
      <xdr:colOff>600074</xdr:colOff>
      <xdr:row>2</xdr:row>
      <xdr:rowOff>171449</xdr:rowOff>
    </xdr:to>
    <xdr:sp macro="" textlink="">
      <xdr:nvSpPr>
        <xdr:cNvPr id="3" name="Trapezoid 2"/>
        <xdr:cNvSpPr/>
      </xdr:nvSpPr>
      <xdr:spPr>
        <a:xfrm>
          <a:off x="7191374" y="4191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257175</xdr:colOff>
      <xdr:row>2</xdr:row>
      <xdr:rowOff>0</xdr:rowOff>
    </xdr:from>
    <xdr:to>
      <xdr:col>0</xdr:col>
      <xdr:colOff>428625</xdr:colOff>
      <xdr:row>2</xdr:row>
      <xdr:rowOff>133350</xdr:rowOff>
    </xdr:to>
    <xdr:sp macro="" textlink="">
      <xdr:nvSpPr>
        <xdr:cNvPr id="4" name="Isosceles Triangle 3"/>
        <xdr:cNvSpPr/>
      </xdr:nvSpPr>
      <xdr:spPr>
        <a:xfrm>
          <a:off x="257175" y="381000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209549</xdr:colOff>
      <xdr:row>5</xdr:row>
      <xdr:rowOff>38100</xdr:rowOff>
    </xdr:from>
    <xdr:to>
      <xdr:col>0</xdr:col>
      <xdr:colOff>428624</xdr:colOff>
      <xdr:row>5</xdr:row>
      <xdr:rowOff>171449</xdr:rowOff>
    </xdr:to>
    <xdr:sp macro="" textlink="">
      <xdr:nvSpPr>
        <xdr:cNvPr id="5" name="Trapezoid 4"/>
        <xdr:cNvSpPr/>
      </xdr:nvSpPr>
      <xdr:spPr>
        <a:xfrm>
          <a:off x="209549" y="9906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33</xdr:col>
      <xdr:colOff>264644</xdr:colOff>
      <xdr:row>16</xdr:row>
      <xdr:rowOff>40091</xdr:rowOff>
    </xdr:from>
    <xdr:to>
      <xdr:col>33</xdr:col>
      <xdr:colOff>436094</xdr:colOff>
      <xdr:row>16</xdr:row>
      <xdr:rowOff>173441</xdr:rowOff>
    </xdr:to>
    <xdr:sp macro="" textlink="">
      <xdr:nvSpPr>
        <xdr:cNvPr id="13" name="Isosceles Triangle 12"/>
        <xdr:cNvSpPr/>
      </xdr:nvSpPr>
      <xdr:spPr>
        <a:xfrm>
          <a:off x="22934144" y="46882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35</xdr:col>
      <xdr:colOff>153890</xdr:colOff>
      <xdr:row>16</xdr:row>
      <xdr:rowOff>49616</xdr:rowOff>
    </xdr:from>
    <xdr:to>
      <xdr:col>35</xdr:col>
      <xdr:colOff>391901</xdr:colOff>
      <xdr:row>17</xdr:row>
      <xdr:rowOff>13607</xdr:rowOff>
    </xdr:to>
    <xdr:sp macro="" textlink="">
      <xdr:nvSpPr>
        <xdr:cNvPr id="14" name="Trapezoid 13"/>
        <xdr:cNvSpPr/>
      </xdr:nvSpPr>
      <xdr:spPr>
        <a:xfrm>
          <a:off x="23966390" y="4697816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33</xdr:col>
      <xdr:colOff>264644</xdr:colOff>
      <xdr:row>44</xdr:row>
      <xdr:rowOff>40091</xdr:rowOff>
    </xdr:from>
    <xdr:to>
      <xdr:col>33</xdr:col>
      <xdr:colOff>436094</xdr:colOff>
      <xdr:row>44</xdr:row>
      <xdr:rowOff>173441</xdr:rowOff>
    </xdr:to>
    <xdr:sp macro="" textlink="">
      <xdr:nvSpPr>
        <xdr:cNvPr id="15" name="Isosceles Triangle 14"/>
        <xdr:cNvSpPr/>
      </xdr:nvSpPr>
      <xdr:spPr>
        <a:xfrm>
          <a:off x="22055727" y="30880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35</xdr:col>
      <xdr:colOff>153890</xdr:colOff>
      <xdr:row>44</xdr:row>
      <xdr:rowOff>49616</xdr:rowOff>
    </xdr:from>
    <xdr:to>
      <xdr:col>35</xdr:col>
      <xdr:colOff>391901</xdr:colOff>
      <xdr:row>45</xdr:row>
      <xdr:rowOff>13607</xdr:rowOff>
    </xdr:to>
    <xdr:sp macro="" textlink="">
      <xdr:nvSpPr>
        <xdr:cNvPr id="16" name="Trapezoid 15"/>
        <xdr:cNvSpPr/>
      </xdr:nvSpPr>
      <xdr:spPr>
        <a:xfrm>
          <a:off x="23172640" y="3097616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552450</xdr:colOff>
      <xdr:row>76</xdr:row>
      <xdr:rowOff>76200</xdr:rowOff>
    </xdr:from>
    <xdr:to>
      <xdr:col>32</xdr:col>
      <xdr:colOff>114300</xdr:colOff>
      <xdr:row>76</xdr:row>
      <xdr:rowOff>85725</xdr:rowOff>
    </xdr:to>
    <xdr:cxnSp macro="">
      <xdr:nvCxnSpPr>
        <xdr:cNvPr id="10" name="Straight Connector 9"/>
        <xdr:cNvCxnSpPr/>
      </xdr:nvCxnSpPr>
      <xdr:spPr>
        <a:xfrm flipV="1">
          <a:off x="6038850" y="8839200"/>
          <a:ext cx="2609850" cy="9525"/>
        </a:xfrm>
        <a:prstGeom prst="lin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219075</xdr:colOff>
      <xdr:row>76</xdr:row>
      <xdr:rowOff>152400</xdr:rowOff>
    </xdr:from>
    <xdr:ext cx="261418" cy="264560"/>
    <xdr:sp macro="" textlink="">
      <xdr:nvSpPr>
        <xdr:cNvPr id="11" name="TextBox 10"/>
        <xdr:cNvSpPr txBox="1"/>
      </xdr:nvSpPr>
      <xdr:spPr>
        <a:xfrm>
          <a:off x="5705475" y="8915400"/>
          <a:ext cx="2614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B</a:t>
          </a:r>
        </a:p>
      </xdr:txBody>
    </xdr:sp>
    <xdr:clientData/>
  </xdr:oneCellAnchor>
  <xdr:oneCellAnchor>
    <xdr:from>
      <xdr:col>32</xdr:col>
      <xdr:colOff>114300</xdr:colOff>
      <xdr:row>76</xdr:row>
      <xdr:rowOff>161925</xdr:rowOff>
    </xdr:from>
    <xdr:ext cx="271485" cy="264560"/>
    <xdr:sp macro="" textlink="">
      <xdr:nvSpPr>
        <xdr:cNvPr id="12" name="TextBox 11"/>
        <xdr:cNvSpPr txBox="1"/>
      </xdr:nvSpPr>
      <xdr:spPr>
        <a:xfrm>
          <a:off x="8648700" y="8924925"/>
          <a:ext cx="2714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D</a:t>
          </a:r>
        </a:p>
      </xdr:txBody>
    </xdr:sp>
    <xdr:clientData/>
  </xdr:oneCellAnchor>
  <xdr:twoCellAnchor>
    <xdr:from>
      <xdr:col>27</xdr:col>
      <xdr:colOff>547168</xdr:colOff>
      <xdr:row>74</xdr:row>
      <xdr:rowOff>180975</xdr:rowOff>
    </xdr:from>
    <xdr:to>
      <xdr:col>27</xdr:col>
      <xdr:colOff>561975</xdr:colOff>
      <xdr:row>77</xdr:row>
      <xdr:rowOff>94180</xdr:rowOff>
    </xdr:to>
    <xdr:cxnSp macro="">
      <xdr:nvCxnSpPr>
        <xdr:cNvPr id="17" name="Straight Connector 16"/>
        <xdr:cNvCxnSpPr/>
      </xdr:nvCxnSpPr>
      <xdr:spPr>
        <a:xfrm flipH="1">
          <a:off x="6033568" y="8562975"/>
          <a:ext cx="14807" cy="484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104775</xdr:colOff>
      <xdr:row>75</xdr:row>
      <xdr:rowOff>38100</xdr:rowOff>
    </xdr:from>
    <xdr:to>
      <xdr:col>32</xdr:col>
      <xdr:colOff>119582</xdr:colOff>
      <xdr:row>77</xdr:row>
      <xdr:rowOff>141805</xdr:rowOff>
    </xdr:to>
    <xdr:cxnSp macro="">
      <xdr:nvCxnSpPr>
        <xdr:cNvPr id="18" name="Straight Connector 17"/>
        <xdr:cNvCxnSpPr/>
      </xdr:nvCxnSpPr>
      <xdr:spPr>
        <a:xfrm flipH="1">
          <a:off x="8639175" y="8610600"/>
          <a:ext cx="14807" cy="484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381000</xdr:colOff>
      <xdr:row>80</xdr:row>
      <xdr:rowOff>38100</xdr:rowOff>
    </xdr:from>
    <xdr:to>
      <xdr:col>32</xdr:col>
      <xdr:colOff>228600</xdr:colOff>
      <xdr:row>80</xdr:row>
      <xdr:rowOff>47625</xdr:rowOff>
    </xdr:to>
    <xdr:cxnSp macro="">
      <xdr:nvCxnSpPr>
        <xdr:cNvPr id="19" name="Straight Connector 18"/>
        <xdr:cNvCxnSpPr/>
      </xdr:nvCxnSpPr>
      <xdr:spPr>
        <a:xfrm>
          <a:off x="5867400" y="9563100"/>
          <a:ext cx="28956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561975</xdr:colOff>
      <xdr:row>79</xdr:row>
      <xdr:rowOff>76200</xdr:rowOff>
    </xdr:from>
    <xdr:to>
      <xdr:col>27</xdr:col>
      <xdr:colOff>571500</xdr:colOff>
      <xdr:row>81</xdr:row>
      <xdr:rowOff>47625</xdr:rowOff>
    </xdr:to>
    <xdr:cxnSp macro="">
      <xdr:nvCxnSpPr>
        <xdr:cNvPr id="20" name="Straight Connector 19"/>
        <xdr:cNvCxnSpPr/>
      </xdr:nvCxnSpPr>
      <xdr:spPr>
        <a:xfrm flipH="1">
          <a:off x="6048375" y="9410700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409575</xdr:colOff>
      <xdr:row>79</xdr:row>
      <xdr:rowOff>19050</xdr:rowOff>
    </xdr:from>
    <xdr:to>
      <xdr:col>29</xdr:col>
      <xdr:colOff>419100</xdr:colOff>
      <xdr:row>80</xdr:row>
      <xdr:rowOff>180975</xdr:rowOff>
    </xdr:to>
    <xdr:cxnSp macro="">
      <xdr:nvCxnSpPr>
        <xdr:cNvPr id="21" name="Straight Connector 20"/>
        <xdr:cNvCxnSpPr/>
      </xdr:nvCxnSpPr>
      <xdr:spPr>
        <a:xfrm>
          <a:off x="7115175" y="9353550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95250</xdr:colOff>
      <xdr:row>79</xdr:row>
      <xdr:rowOff>28575</xdr:rowOff>
    </xdr:from>
    <xdr:to>
      <xdr:col>32</xdr:col>
      <xdr:colOff>104775</xdr:colOff>
      <xdr:row>81</xdr:row>
      <xdr:rowOff>0</xdr:rowOff>
    </xdr:to>
    <xdr:cxnSp macro="">
      <xdr:nvCxnSpPr>
        <xdr:cNvPr id="22" name="Straight Connector 21"/>
        <xdr:cNvCxnSpPr/>
      </xdr:nvCxnSpPr>
      <xdr:spPr>
        <a:xfrm>
          <a:off x="8629650" y="9363075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533400</xdr:colOff>
      <xdr:row>75</xdr:row>
      <xdr:rowOff>114300</xdr:rowOff>
    </xdr:from>
    <xdr:to>
      <xdr:col>29</xdr:col>
      <xdr:colOff>390525</xdr:colOff>
      <xdr:row>76</xdr:row>
      <xdr:rowOff>38100</xdr:rowOff>
    </xdr:to>
    <xdr:sp macro="" textlink="">
      <xdr:nvSpPr>
        <xdr:cNvPr id="23" name="Rectangle 22"/>
        <xdr:cNvSpPr/>
      </xdr:nvSpPr>
      <xdr:spPr>
        <a:xfrm>
          <a:off x="6019800" y="8686800"/>
          <a:ext cx="1076325" cy="1143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419100</xdr:colOff>
      <xdr:row>75</xdr:row>
      <xdr:rowOff>66675</xdr:rowOff>
    </xdr:from>
    <xdr:to>
      <xdr:col>32</xdr:col>
      <xdr:colOff>104775</xdr:colOff>
      <xdr:row>76</xdr:row>
      <xdr:rowOff>28575</xdr:rowOff>
    </xdr:to>
    <xdr:sp macro="" textlink="">
      <xdr:nvSpPr>
        <xdr:cNvPr id="24" name="Rectangle 23"/>
        <xdr:cNvSpPr/>
      </xdr:nvSpPr>
      <xdr:spPr>
        <a:xfrm>
          <a:off x="7124700" y="8639175"/>
          <a:ext cx="1514475" cy="1524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400050</xdr:colOff>
      <xdr:row>73</xdr:row>
      <xdr:rowOff>0</xdr:rowOff>
    </xdr:from>
    <xdr:to>
      <xdr:col>29</xdr:col>
      <xdr:colOff>400050</xdr:colOff>
      <xdr:row>74</xdr:row>
      <xdr:rowOff>180975</xdr:rowOff>
    </xdr:to>
    <xdr:cxnSp macro="">
      <xdr:nvCxnSpPr>
        <xdr:cNvPr id="25" name="Straight Arrow Connector 24"/>
        <xdr:cNvCxnSpPr/>
      </xdr:nvCxnSpPr>
      <xdr:spPr>
        <a:xfrm>
          <a:off x="7105650" y="8191500"/>
          <a:ext cx="0" cy="371475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571500</xdr:colOff>
      <xdr:row>75</xdr:row>
      <xdr:rowOff>1361</xdr:rowOff>
    </xdr:from>
    <xdr:to>
      <xdr:col>28</xdr:col>
      <xdr:colOff>200025</xdr:colOff>
      <xdr:row>78</xdr:row>
      <xdr:rowOff>95250</xdr:rowOff>
    </xdr:to>
    <xdr:sp macro="" textlink="">
      <xdr:nvSpPr>
        <xdr:cNvPr id="26" name="Curved Right Arrow 25"/>
        <xdr:cNvSpPr/>
      </xdr:nvSpPr>
      <xdr:spPr>
        <a:xfrm>
          <a:off x="18151929" y="14356897"/>
          <a:ext cx="376917" cy="665389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514350</xdr:colOff>
      <xdr:row>74</xdr:row>
      <xdr:rowOff>171450</xdr:rowOff>
    </xdr:from>
    <xdr:to>
      <xdr:col>32</xdr:col>
      <xdr:colOff>28575</xdr:colOff>
      <xdr:row>77</xdr:row>
      <xdr:rowOff>57150</xdr:rowOff>
    </xdr:to>
    <xdr:sp macro="" textlink="">
      <xdr:nvSpPr>
        <xdr:cNvPr id="27" name="Curved Left Arrow 26"/>
        <xdr:cNvSpPr/>
      </xdr:nvSpPr>
      <xdr:spPr>
        <a:xfrm>
          <a:off x="8439150" y="8553450"/>
          <a:ext cx="123825" cy="4572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28</xdr:col>
      <xdr:colOff>57150</xdr:colOff>
      <xdr:row>77</xdr:row>
      <xdr:rowOff>57150</xdr:rowOff>
    </xdr:from>
    <xdr:ext cx="379399" cy="264560"/>
    <xdr:sp macro="" textlink="">
      <xdr:nvSpPr>
        <xdr:cNvPr id="28" name="TextBox 27"/>
        <xdr:cNvSpPr txBox="1"/>
      </xdr:nvSpPr>
      <xdr:spPr>
        <a:xfrm>
          <a:off x="6153150" y="9010650"/>
          <a:ext cx="3793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Mb</a:t>
          </a:r>
        </a:p>
      </xdr:txBody>
    </xdr:sp>
    <xdr:clientData/>
  </xdr:oneCellAnchor>
  <xdr:oneCellAnchor>
    <xdr:from>
      <xdr:col>31</xdr:col>
      <xdr:colOff>200025</xdr:colOff>
      <xdr:row>77</xdr:row>
      <xdr:rowOff>0</xdr:rowOff>
    </xdr:from>
    <xdr:ext cx="379399" cy="264560"/>
    <xdr:sp macro="" textlink="">
      <xdr:nvSpPr>
        <xdr:cNvPr id="29" name="TextBox 28"/>
        <xdr:cNvSpPr txBox="1"/>
      </xdr:nvSpPr>
      <xdr:spPr>
        <a:xfrm>
          <a:off x="8124825" y="8953500"/>
          <a:ext cx="3793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Md</a:t>
          </a:r>
        </a:p>
      </xdr:txBody>
    </xdr:sp>
    <xdr:clientData/>
  </xdr:oneCellAnchor>
  <xdr:twoCellAnchor>
    <xdr:from>
      <xdr:col>27</xdr:col>
      <xdr:colOff>561975</xdr:colOff>
      <xdr:row>81</xdr:row>
      <xdr:rowOff>114300</xdr:rowOff>
    </xdr:from>
    <xdr:to>
      <xdr:col>27</xdr:col>
      <xdr:colOff>561975</xdr:colOff>
      <xdr:row>83</xdr:row>
      <xdr:rowOff>152400</xdr:rowOff>
    </xdr:to>
    <xdr:cxnSp macro="">
      <xdr:nvCxnSpPr>
        <xdr:cNvPr id="30" name="Straight Arrow Connector 29"/>
        <xdr:cNvCxnSpPr/>
      </xdr:nvCxnSpPr>
      <xdr:spPr>
        <a:xfrm flipV="1">
          <a:off x="6048375" y="9829800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85725</xdr:colOff>
      <xdr:row>81</xdr:row>
      <xdr:rowOff>38100</xdr:rowOff>
    </xdr:from>
    <xdr:to>
      <xdr:col>32</xdr:col>
      <xdr:colOff>85725</xdr:colOff>
      <xdr:row>83</xdr:row>
      <xdr:rowOff>76200</xdr:rowOff>
    </xdr:to>
    <xdr:cxnSp macro="">
      <xdr:nvCxnSpPr>
        <xdr:cNvPr id="31" name="Straight Arrow Connector 30"/>
        <xdr:cNvCxnSpPr/>
      </xdr:nvCxnSpPr>
      <xdr:spPr>
        <a:xfrm flipV="1">
          <a:off x="8620125" y="9753600"/>
          <a:ext cx="0" cy="4191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571499</xdr:colOff>
      <xdr:row>95</xdr:row>
      <xdr:rowOff>40814</xdr:rowOff>
    </xdr:from>
    <xdr:ext cx="450298" cy="264560"/>
    <xdr:sp macro="" textlink="">
      <xdr:nvSpPr>
        <xdr:cNvPr id="32" name="TextBox 31"/>
        <xdr:cNvSpPr txBox="1"/>
      </xdr:nvSpPr>
      <xdr:spPr>
        <a:xfrm>
          <a:off x="17539606" y="18614564"/>
          <a:ext cx="45029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VB</a:t>
          </a:r>
        </a:p>
      </xdr:txBody>
    </xdr:sp>
    <xdr:clientData/>
  </xdr:oneCellAnchor>
  <xdr:oneCellAnchor>
    <xdr:from>
      <xdr:col>32</xdr:col>
      <xdr:colOff>291195</xdr:colOff>
      <xdr:row>94</xdr:row>
      <xdr:rowOff>95244</xdr:rowOff>
    </xdr:from>
    <xdr:ext cx="351506" cy="750335"/>
    <xdr:sp macro="" textlink="">
      <xdr:nvSpPr>
        <xdr:cNvPr id="33" name="TextBox 32"/>
        <xdr:cNvSpPr txBox="1"/>
      </xdr:nvSpPr>
      <xdr:spPr>
        <a:xfrm>
          <a:off x="21436695" y="18396851"/>
          <a:ext cx="351506" cy="7503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VD</a:t>
          </a:r>
        </a:p>
      </xdr:txBody>
    </xdr:sp>
    <xdr:clientData/>
  </xdr:oneCellAnchor>
  <xdr:twoCellAnchor editAs="oneCell">
    <xdr:from>
      <xdr:col>36</xdr:col>
      <xdr:colOff>231320</xdr:colOff>
      <xdr:row>75</xdr:row>
      <xdr:rowOff>136071</xdr:rowOff>
    </xdr:from>
    <xdr:to>
      <xdr:col>44</xdr:col>
      <xdr:colOff>870856</xdr:colOff>
      <xdr:row>83</xdr:row>
      <xdr:rowOff>1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462" t="39067" r="30968" b="41958"/>
        <a:stretch/>
      </xdr:blipFill>
      <xdr:spPr>
        <a:xfrm>
          <a:off x="23826106" y="14491607"/>
          <a:ext cx="5538108" cy="1387930"/>
        </a:xfrm>
        <a:prstGeom prst="rect">
          <a:avLst/>
        </a:prstGeom>
      </xdr:spPr>
    </xdr:pic>
    <xdr:clientData/>
  </xdr:twoCellAnchor>
  <xdr:twoCellAnchor>
    <xdr:from>
      <xdr:col>37</xdr:col>
      <xdr:colOff>54430</xdr:colOff>
      <xdr:row>79</xdr:row>
      <xdr:rowOff>81642</xdr:rowOff>
    </xdr:from>
    <xdr:to>
      <xdr:col>37</xdr:col>
      <xdr:colOff>225880</xdr:colOff>
      <xdr:row>81</xdr:row>
      <xdr:rowOff>129267</xdr:rowOff>
    </xdr:to>
    <xdr:sp macro="" textlink="">
      <xdr:nvSpPr>
        <xdr:cNvPr id="35" name="Curved Right Arrow 34"/>
        <xdr:cNvSpPr/>
      </xdr:nvSpPr>
      <xdr:spPr>
        <a:xfrm>
          <a:off x="24261537" y="15199178"/>
          <a:ext cx="171450" cy="4286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435427</xdr:colOff>
      <xdr:row>79</xdr:row>
      <xdr:rowOff>95254</xdr:rowOff>
    </xdr:from>
    <xdr:to>
      <xdr:col>42</xdr:col>
      <xdr:colOff>153760</xdr:colOff>
      <xdr:row>81</xdr:row>
      <xdr:rowOff>171454</xdr:rowOff>
    </xdr:to>
    <xdr:sp macro="" textlink="">
      <xdr:nvSpPr>
        <xdr:cNvPr id="36" name="Curved Left Arrow 35"/>
        <xdr:cNvSpPr/>
      </xdr:nvSpPr>
      <xdr:spPr>
        <a:xfrm>
          <a:off x="27091820" y="15212790"/>
          <a:ext cx="330654" cy="4572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36</xdr:col>
      <xdr:colOff>176893</xdr:colOff>
      <xdr:row>85</xdr:row>
      <xdr:rowOff>163285</xdr:rowOff>
    </xdr:from>
    <xdr:to>
      <xdr:col>44</xdr:col>
      <xdr:colOff>952499</xdr:colOff>
      <xdr:row>91</xdr:row>
      <xdr:rowOff>108857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358" t="35719" r="22810" b="44933"/>
        <a:stretch/>
      </xdr:blipFill>
      <xdr:spPr>
        <a:xfrm>
          <a:off x="23771679" y="16423821"/>
          <a:ext cx="5674178" cy="1415143"/>
        </a:xfrm>
        <a:prstGeom prst="rect">
          <a:avLst/>
        </a:prstGeom>
      </xdr:spPr>
    </xdr:pic>
    <xdr:clientData/>
  </xdr:twoCellAnchor>
  <xdr:twoCellAnchor editAs="oneCell">
    <xdr:from>
      <xdr:col>36</xdr:col>
      <xdr:colOff>408214</xdr:colOff>
      <xdr:row>93</xdr:row>
      <xdr:rowOff>122464</xdr:rowOff>
    </xdr:from>
    <xdr:to>
      <xdr:col>45</xdr:col>
      <xdr:colOff>176892</xdr:colOff>
      <xdr:row>100</xdr:row>
      <xdr:rowOff>40821</xdr:rowOff>
    </xdr:to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358" t="35719" r="22810" b="44933"/>
        <a:stretch/>
      </xdr:blipFill>
      <xdr:spPr>
        <a:xfrm>
          <a:off x="24003000" y="18233571"/>
          <a:ext cx="5674178" cy="1415143"/>
        </a:xfrm>
        <a:prstGeom prst="rect">
          <a:avLst/>
        </a:prstGeom>
      </xdr:spPr>
    </xdr:pic>
    <xdr:clientData/>
  </xdr:twoCellAnchor>
  <xdr:twoCellAnchor>
    <xdr:from>
      <xdr:col>38</xdr:col>
      <xdr:colOff>517071</xdr:colOff>
      <xdr:row>95</xdr:row>
      <xdr:rowOff>54429</xdr:rowOff>
    </xdr:from>
    <xdr:to>
      <xdr:col>41</xdr:col>
      <xdr:colOff>517071</xdr:colOff>
      <xdr:row>96</xdr:row>
      <xdr:rowOff>54429</xdr:rowOff>
    </xdr:to>
    <xdr:sp macro="" textlink="">
      <xdr:nvSpPr>
        <xdr:cNvPr id="39" name="Rectangle 38"/>
        <xdr:cNvSpPr/>
      </xdr:nvSpPr>
      <xdr:spPr>
        <a:xfrm>
          <a:off x="25336500" y="18546536"/>
          <a:ext cx="1836964" cy="1905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37</xdr:col>
      <xdr:colOff>81643</xdr:colOff>
      <xdr:row>94</xdr:row>
      <xdr:rowOff>136072</xdr:rowOff>
    </xdr:from>
    <xdr:to>
      <xdr:col>38</xdr:col>
      <xdr:colOff>476250</xdr:colOff>
      <xdr:row>96</xdr:row>
      <xdr:rowOff>68036</xdr:rowOff>
    </xdr:to>
    <xdr:sp macro="" textlink="">
      <xdr:nvSpPr>
        <xdr:cNvPr id="40" name="Rectangle 39"/>
        <xdr:cNvSpPr/>
      </xdr:nvSpPr>
      <xdr:spPr>
        <a:xfrm>
          <a:off x="24288750" y="18437679"/>
          <a:ext cx="1006929" cy="31296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37</xdr:col>
      <xdr:colOff>435431</xdr:colOff>
      <xdr:row>96</xdr:row>
      <xdr:rowOff>81648</xdr:rowOff>
    </xdr:from>
    <xdr:ext cx="305918" cy="374141"/>
    <xdr:sp macro="" textlink="">
      <xdr:nvSpPr>
        <xdr:cNvPr id="41" name="TextBox 40"/>
        <xdr:cNvSpPr txBox="1"/>
      </xdr:nvSpPr>
      <xdr:spPr>
        <a:xfrm>
          <a:off x="24642538" y="18927541"/>
          <a:ext cx="30591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b</a:t>
          </a:r>
        </a:p>
      </xdr:txBody>
    </xdr:sp>
    <xdr:clientData/>
  </xdr:oneCellAnchor>
  <xdr:oneCellAnchor>
    <xdr:from>
      <xdr:col>40</xdr:col>
      <xdr:colOff>68039</xdr:colOff>
      <xdr:row>96</xdr:row>
      <xdr:rowOff>68040</xdr:rowOff>
    </xdr:from>
    <xdr:ext cx="295209" cy="374141"/>
    <xdr:sp macro="" textlink="">
      <xdr:nvSpPr>
        <xdr:cNvPr id="42" name="TextBox 41"/>
        <xdr:cNvSpPr txBox="1"/>
      </xdr:nvSpPr>
      <xdr:spPr>
        <a:xfrm>
          <a:off x="26112110" y="18913933"/>
          <a:ext cx="295209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a</a:t>
          </a:r>
        </a:p>
      </xdr:txBody>
    </xdr:sp>
    <xdr:clientData/>
  </xdr:oneCellAnchor>
  <xdr:twoCellAnchor>
    <xdr:from>
      <xdr:col>37</xdr:col>
      <xdr:colOff>204104</xdr:colOff>
      <xdr:row>95</xdr:row>
      <xdr:rowOff>0</xdr:rowOff>
    </xdr:from>
    <xdr:to>
      <xdr:col>37</xdr:col>
      <xdr:colOff>375554</xdr:colOff>
      <xdr:row>97</xdr:row>
      <xdr:rowOff>47625</xdr:rowOff>
    </xdr:to>
    <xdr:sp macro="" textlink="">
      <xdr:nvSpPr>
        <xdr:cNvPr id="44" name="Curved Right Arrow 43"/>
        <xdr:cNvSpPr/>
      </xdr:nvSpPr>
      <xdr:spPr>
        <a:xfrm>
          <a:off x="24411211" y="18492107"/>
          <a:ext cx="171450" cy="4286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612320</xdr:colOff>
      <xdr:row>86</xdr:row>
      <xdr:rowOff>244926</xdr:rowOff>
    </xdr:from>
    <xdr:to>
      <xdr:col>37</xdr:col>
      <xdr:colOff>171449</xdr:colOff>
      <xdr:row>88</xdr:row>
      <xdr:rowOff>129266</xdr:rowOff>
    </xdr:to>
    <xdr:sp macro="" textlink="">
      <xdr:nvSpPr>
        <xdr:cNvPr id="45" name="Curved Right Arrow 44"/>
        <xdr:cNvSpPr/>
      </xdr:nvSpPr>
      <xdr:spPr>
        <a:xfrm>
          <a:off x="24207106" y="16777605"/>
          <a:ext cx="171450" cy="4286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40</xdr:col>
      <xdr:colOff>489844</xdr:colOff>
      <xdr:row>86</xdr:row>
      <xdr:rowOff>231321</xdr:rowOff>
    </xdr:from>
    <xdr:to>
      <xdr:col>41</xdr:col>
      <xdr:colOff>208176</xdr:colOff>
      <xdr:row>88</xdr:row>
      <xdr:rowOff>144236</xdr:rowOff>
    </xdr:to>
    <xdr:sp macro="" textlink="">
      <xdr:nvSpPr>
        <xdr:cNvPr id="46" name="Curved Left Arrow 45"/>
        <xdr:cNvSpPr/>
      </xdr:nvSpPr>
      <xdr:spPr>
        <a:xfrm>
          <a:off x="26533915" y="16764000"/>
          <a:ext cx="330654" cy="4572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81632</xdr:colOff>
      <xdr:row>94</xdr:row>
      <xdr:rowOff>149678</xdr:rowOff>
    </xdr:from>
    <xdr:to>
      <xdr:col>41</xdr:col>
      <xdr:colOff>412286</xdr:colOff>
      <xdr:row>97</xdr:row>
      <xdr:rowOff>35378</xdr:rowOff>
    </xdr:to>
    <xdr:sp macro="" textlink="">
      <xdr:nvSpPr>
        <xdr:cNvPr id="47" name="Curved Left Arrow 46"/>
        <xdr:cNvSpPr/>
      </xdr:nvSpPr>
      <xdr:spPr>
        <a:xfrm>
          <a:off x="26738025" y="18451285"/>
          <a:ext cx="330654" cy="4572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35</xdr:col>
      <xdr:colOff>367393</xdr:colOff>
      <xdr:row>87</xdr:row>
      <xdr:rowOff>163286</xdr:rowOff>
    </xdr:from>
    <xdr:ext cx="449418" cy="405432"/>
    <xdr:sp macro="" textlink="">
      <xdr:nvSpPr>
        <xdr:cNvPr id="48" name="TextBox 47"/>
        <xdr:cNvSpPr txBox="1"/>
      </xdr:nvSpPr>
      <xdr:spPr>
        <a:xfrm>
          <a:off x="23349857" y="16968107"/>
          <a:ext cx="449418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q1</a:t>
          </a:r>
        </a:p>
      </xdr:txBody>
    </xdr:sp>
    <xdr:clientData/>
  </xdr:oneCellAnchor>
  <xdr:oneCellAnchor>
    <xdr:from>
      <xdr:col>35</xdr:col>
      <xdr:colOff>0</xdr:colOff>
      <xdr:row>95</xdr:row>
      <xdr:rowOff>0</xdr:rowOff>
    </xdr:from>
    <xdr:ext cx="449418" cy="405432"/>
    <xdr:sp macro="" textlink="">
      <xdr:nvSpPr>
        <xdr:cNvPr id="50" name="TextBox 49"/>
        <xdr:cNvSpPr txBox="1"/>
      </xdr:nvSpPr>
      <xdr:spPr>
        <a:xfrm>
          <a:off x="22982464" y="18573750"/>
          <a:ext cx="449418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q2</a:t>
          </a:r>
        </a:p>
      </xdr:txBody>
    </xdr:sp>
    <xdr:clientData/>
  </xdr:oneCellAnchor>
  <xdr:oneCellAnchor>
    <xdr:from>
      <xdr:col>42</xdr:col>
      <xdr:colOff>258538</xdr:colOff>
      <xdr:row>94</xdr:row>
      <xdr:rowOff>40825</xdr:rowOff>
    </xdr:from>
    <xdr:ext cx="613822" cy="374141"/>
    <xdr:sp macro="" textlink="">
      <xdr:nvSpPr>
        <xdr:cNvPr id="51" name="TextBox 50"/>
        <xdr:cNvSpPr txBox="1"/>
      </xdr:nvSpPr>
      <xdr:spPr>
        <a:xfrm>
          <a:off x="27527252" y="18342432"/>
          <a:ext cx="61382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Mab</a:t>
          </a:r>
        </a:p>
      </xdr:txBody>
    </xdr:sp>
    <xdr:clientData/>
  </xdr:oneCellAnchor>
  <xdr:oneCellAnchor>
    <xdr:from>
      <xdr:col>42</xdr:col>
      <xdr:colOff>217716</xdr:colOff>
      <xdr:row>95</xdr:row>
      <xdr:rowOff>244931</xdr:rowOff>
    </xdr:from>
    <xdr:ext cx="613822" cy="374141"/>
    <xdr:sp macro="" textlink="">
      <xdr:nvSpPr>
        <xdr:cNvPr id="52" name="TextBox 51"/>
        <xdr:cNvSpPr txBox="1"/>
      </xdr:nvSpPr>
      <xdr:spPr>
        <a:xfrm>
          <a:off x="27486430" y="18818681"/>
          <a:ext cx="61382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Mba</a:t>
          </a:r>
        </a:p>
      </xdr:txBody>
    </xdr:sp>
    <xdr:clientData/>
  </xdr:oneCellAnchor>
  <xdr:twoCellAnchor>
    <xdr:from>
      <xdr:col>27</xdr:col>
      <xdr:colOff>544283</xdr:colOff>
      <xdr:row>84</xdr:row>
      <xdr:rowOff>81641</xdr:rowOff>
    </xdr:from>
    <xdr:to>
      <xdr:col>27</xdr:col>
      <xdr:colOff>544283</xdr:colOff>
      <xdr:row>86</xdr:row>
      <xdr:rowOff>38098</xdr:rowOff>
    </xdr:to>
    <xdr:cxnSp macro="">
      <xdr:nvCxnSpPr>
        <xdr:cNvPr id="53" name="Straight Arrow Connector 52"/>
        <xdr:cNvCxnSpPr/>
      </xdr:nvCxnSpPr>
      <xdr:spPr>
        <a:xfrm flipV="1">
          <a:off x="18124712" y="16151677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108853</xdr:colOff>
      <xdr:row>84</xdr:row>
      <xdr:rowOff>108858</xdr:rowOff>
    </xdr:from>
    <xdr:to>
      <xdr:col>32</xdr:col>
      <xdr:colOff>108853</xdr:colOff>
      <xdr:row>86</xdr:row>
      <xdr:rowOff>65315</xdr:rowOff>
    </xdr:to>
    <xdr:cxnSp macro="">
      <xdr:nvCxnSpPr>
        <xdr:cNvPr id="55" name="Straight Arrow Connector 54"/>
        <xdr:cNvCxnSpPr/>
      </xdr:nvCxnSpPr>
      <xdr:spPr>
        <a:xfrm flipV="1">
          <a:off x="21254353" y="16178894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544281</xdr:colOff>
      <xdr:row>86</xdr:row>
      <xdr:rowOff>190500</xdr:rowOff>
    </xdr:from>
    <xdr:to>
      <xdr:col>27</xdr:col>
      <xdr:colOff>544281</xdr:colOff>
      <xdr:row>88</xdr:row>
      <xdr:rowOff>65315</xdr:rowOff>
    </xdr:to>
    <xdr:cxnSp macro="">
      <xdr:nvCxnSpPr>
        <xdr:cNvPr id="57" name="Straight Arrow Connector 56"/>
        <xdr:cNvCxnSpPr/>
      </xdr:nvCxnSpPr>
      <xdr:spPr>
        <a:xfrm flipV="1">
          <a:off x="18124710" y="16723179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68036</xdr:colOff>
      <xdr:row>86</xdr:row>
      <xdr:rowOff>136071</xdr:rowOff>
    </xdr:from>
    <xdr:to>
      <xdr:col>32</xdr:col>
      <xdr:colOff>68036</xdr:colOff>
      <xdr:row>88</xdr:row>
      <xdr:rowOff>10886</xdr:rowOff>
    </xdr:to>
    <xdr:cxnSp macro="">
      <xdr:nvCxnSpPr>
        <xdr:cNvPr id="59" name="Straight Arrow Connector 58"/>
        <xdr:cNvCxnSpPr/>
      </xdr:nvCxnSpPr>
      <xdr:spPr>
        <a:xfrm flipV="1">
          <a:off x="21213536" y="16668750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393928</xdr:colOff>
      <xdr:row>70</xdr:row>
      <xdr:rowOff>114299</xdr:rowOff>
    </xdr:from>
    <xdr:to>
      <xdr:col>28</xdr:col>
      <xdr:colOff>394608</xdr:colOff>
      <xdr:row>77</xdr:row>
      <xdr:rowOff>13606</xdr:rowOff>
    </xdr:to>
    <xdr:cxnSp macro="">
      <xdr:nvCxnSpPr>
        <xdr:cNvPr id="61" name="Straight Arrow Connector 60"/>
        <xdr:cNvCxnSpPr/>
      </xdr:nvCxnSpPr>
      <xdr:spPr>
        <a:xfrm>
          <a:off x="18722749" y="13517335"/>
          <a:ext cx="680" cy="12328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149678</xdr:colOff>
      <xdr:row>70</xdr:row>
      <xdr:rowOff>122464</xdr:rowOff>
    </xdr:from>
    <xdr:ext cx="489857" cy="311496"/>
    <xdr:sp macro="" textlink="">
      <xdr:nvSpPr>
        <xdr:cNvPr id="62" name="TextBox 61"/>
        <xdr:cNvSpPr txBox="1"/>
      </xdr:nvSpPr>
      <xdr:spPr>
        <a:xfrm>
          <a:off x="18478499" y="13525500"/>
          <a:ext cx="48985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/>
            <a:t>Q1</a:t>
          </a:r>
        </a:p>
      </xdr:txBody>
    </xdr:sp>
    <xdr:clientData/>
  </xdr:oneCellAnchor>
  <xdr:twoCellAnchor>
    <xdr:from>
      <xdr:col>30</xdr:col>
      <xdr:colOff>557906</xdr:colOff>
      <xdr:row>71</xdr:row>
      <xdr:rowOff>81646</xdr:rowOff>
    </xdr:from>
    <xdr:to>
      <xdr:col>30</xdr:col>
      <xdr:colOff>558586</xdr:colOff>
      <xdr:row>77</xdr:row>
      <xdr:rowOff>171453</xdr:rowOff>
    </xdr:to>
    <xdr:cxnSp macro="">
      <xdr:nvCxnSpPr>
        <xdr:cNvPr id="64" name="Straight Arrow Connector 63"/>
        <xdr:cNvCxnSpPr/>
      </xdr:nvCxnSpPr>
      <xdr:spPr>
        <a:xfrm>
          <a:off x="20274656" y="13675182"/>
          <a:ext cx="680" cy="12328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435426</xdr:colOff>
      <xdr:row>70</xdr:row>
      <xdr:rowOff>122463</xdr:rowOff>
    </xdr:from>
    <xdr:ext cx="489857" cy="311496"/>
    <xdr:sp macro="" textlink="">
      <xdr:nvSpPr>
        <xdr:cNvPr id="66" name="TextBox 65"/>
        <xdr:cNvSpPr txBox="1"/>
      </xdr:nvSpPr>
      <xdr:spPr>
        <a:xfrm>
          <a:off x="20152176" y="13525499"/>
          <a:ext cx="48985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/>
            <a:t>Q2</a:t>
          </a:r>
        </a:p>
      </xdr:txBody>
    </xdr:sp>
    <xdr:clientData/>
  </xdr:oneCellAnchor>
  <xdr:twoCellAnchor>
    <xdr:from>
      <xdr:col>27</xdr:col>
      <xdr:colOff>571500</xdr:colOff>
      <xdr:row>88</xdr:row>
      <xdr:rowOff>122465</xdr:rowOff>
    </xdr:from>
    <xdr:to>
      <xdr:col>27</xdr:col>
      <xdr:colOff>571500</xdr:colOff>
      <xdr:row>90</xdr:row>
      <xdr:rowOff>78922</xdr:rowOff>
    </xdr:to>
    <xdr:cxnSp macro="">
      <xdr:nvCxnSpPr>
        <xdr:cNvPr id="68" name="Straight Arrow Connector 67"/>
        <xdr:cNvCxnSpPr/>
      </xdr:nvCxnSpPr>
      <xdr:spPr>
        <a:xfrm flipV="1">
          <a:off x="18151929" y="17199429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54429</xdr:colOff>
      <xdr:row>88</xdr:row>
      <xdr:rowOff>163286</xdr:rowOff>
    </xdr:from>
    <xdr:to>
      <xdr:col>32</xdr:col>
      <xdr:colOff>54429</xdr:colOff>
      <xdr:row>90</xdr:row>
      <xdr:rowOff>122464</xdr:rowOff>
    </xdr:to>
    <xdr:cxnSp macro="">
      <xdr:nvCxnSpPr>
        <xdr:cNvPr id="70" name="Straight Arrow Connector 69"/>
        <xdr:cNvCxnSpPr/>
      </xdr:nvCxnSpPr>
      <xdr:spPr>
        <a:xfrm>
          <a:off x="21199929" y="17240250"/>
          <a:ext cx="0" cy="42182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517069</xdr:colOff>
      <xdr:row>91</xdr:row>
      <xdr:rowOff>0</xdr:rowOff>
    </xdr:from>
    <xdr:to>
      <xdr:col>27</xdr:col>
      <xdr:colOff>517069</xdr:colOff>
      <xdr:row>93</xdr:row>
      <xdr:rowOff>40821</xdr:rowOff>
    </xdr:to>
    <xdr:cxnSp macro="">
      <xdr:nvCxnSpPr>
        <xdr:cNvPr id="72" name="Straight Arrow Connector 71"/>
        <xdr:cNvCxnSpPr/>
      </xdr:nvCxnSpPr>
      <xdr:spPr>
        <a:xfrm>
          <a:off x="18097498" y="17730107"/>
          <a:ext cx="0" cy="42182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54426</xdr:colOff>
      <xdr:row>91</xdr:row>
      <xdr:rowOff>27216</xdr:rowOff>
    </xdr:from>
    <xdr:to>
      <xdr:col>32</xdr:col>
      <xdr:colOff>54426</xdr:colOff>
      <xdr:row>93</xdr:row>
      <xdr:rowOff>65316</xdr:rowOff>
    </xdr:to>
    <xdr:cxnSp macro="">
      <xdr:nvCxnSpPr>
        <xdr:cNvPr id="73" name="Straight Arrow Connector 72"/>
        <xdr:cNvCxnSpPr/>
      </xdr:nvCxnSpPr>
      <xdr:spPr>
        <a:xfrm flipV="1">
          <a:off x="21199926" y="17757323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13607</xdr:colOff>
      <xdr:row>93</xdr:row>
      <xdr:rowOff>27214</xdr:rowOff>
    </xdr:from>
    <xdr:to>
      <xdr:col>28</xdr:col>
      <xdr:colOff>258536</xdr:colOff>
      <xdr:row>93</xdr:row>
      <xdr:rowOff>68036</xdr:rowOff>
    </xdr:to>
    <xdr:cxnSp macro="">
      <xdr:nvCxnSpPr>
        <xdr:cNvPr id="75" name="Straight Connector 74"/>
        <xdr:cNvCxnSpPr/>
      </xdr:nvCxnSpPr>
      <xdr:spPr>
        <a:xfrm flipV="1">
          <a:off x="17594036" y="18138321"/>
          <a:ext cx="993321" cy="408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449036</xdr:colOff>
      <xdr:row>93</xdr:row>
      <xdr:rowOff>81642</xdr:rowOff>
    </xdr:from>
    <xdr:to>
      <xdr:col>33</xdr:col>
      <xdr:colOff>13607</xdr:colOff>
      <xdr:row>93</xdr:row>
      <xdr:rowOff>122464</xdr:rowOff>
    </xdr:to>
    <xdr:cxnSp macro="">
      <xdr:nvCxnSpPr>
        <xdr:cNvPr id="77" name="Straight Connector 76"/>
        <xdr:cNvCxnSpPr/>
      </xdr:nvCxnSpPr>
      <xdr:spPr>
        <a:xfrm flipV="1">
          <a:off x="20778107" y="18192749"/>
          <a:ext cx="993321" cy="408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462641</xdr:colOff>
      <xdr:row>94</xdr:row>
      <xdr:rowOff>40824</xdr:rowOff>
    </xdr:from>
    <xdr:to>
      <xdr:col>27</xdr:col>
      <xdr:colOff>462641</xdr:colOff>
      <xdr:row>95</xdr:row>
      <xdr:rowOff>187781</xdr:rowOff>
    </xdr:to>
    <xdr:cxnSp macro="">
      <xdr:nvCxnSpPr>
        <xdr:cNvPr id="78" name="Straight Arrow Connector 77"/>
        <xdr:cNvCxnSpPr/>
      </xdr:nvCxnSpPr>
      <xdr:spPr>
        <a:xfrm flipV="1">
          <a:off x="18043070" y="18342431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149678</xdr:colOff>
      <xdr:row>94</xdr:row>
      <xdr:rowOff>13610</xdr:rowOff>
    </xdr:from>
    <xdr:to>
      <xdr:col>32</xdr:col>
      <xdr:colOff>149678</xdr:colOff>
      <xdr:row>95</xdr:row>
      <xdr:rowOff>160567</xdr:rowOff>
    </xdr:to>
    <xdr:cxnSp macro="">
      <xdr:nvCxnSpPr>
        <xdr:cNvPr id="80" name="Straight Arrow Connector 79"/>
        <xdr:cNvCxnSpPr/>
      </xdr:nvCxnSpPr>
      <xdr:spPr>
        <a:xfrm flipV="1">
          <a:off x="21295178" y="18315217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421822</xdr:colOff>
      <xdr:row>103</xdr:row>
      <xdr:rowOff>27214</xdr:rowOff>
    </xdr:from>
    <xdr:to>
      <xdr:col>32</xdr:col>
      <xdr:colOff>0</xdr:colOff>
      <xdr:row>103</xdr:row>
      <xdr:rowOff>27214</xdr:rowOff>
    </xdr:to>
    <xdr:cxnSp macro="">
      <xdr:nvCxnSpPr>
        <xdr:cNvPr id="8" name="Straight Connector 7"/>
        <xdr:cNvCxnSpPr/>
      </xdr:nvCxnSpPr>
      <xdr:spPr>
        <a:xfrm>
          <a:off x="18260786" y="20288250"/>
          <a:ext cx="3143250" cy="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394607</xdr:colOff>
      <xdr:row>101</xdr:row>
      <xdr:rowOff>68036</xdr:rowOff>
    </xdr:from>
    <xdr:to>
      <xdr:col>29</xdr:col>
      <xdr:colOff>408214</xdr:colOff>
      <xdr:row>104</xdr:row>
      <xdr:rowOff>27214</xdr:rowOff>
    </xdr:to>
    <xdr:cxnSp macro="">
      <xdr:nvCxnSpPr>
        <xdr:cNvPr id="37" name="Straight Connector 36"/>
        <xdr:cNvCxnSpPr/>
      </xdr:nvCxnSpPr>
      <xdr:spPr>
        <a:xfrm>
          <a:off x="19594286" y="19866429"/>
          <a:ext cx="13607" cy="6939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408215</xdr:colOff>
      <xdr:row>99</xdr:row>
      <xdr:rowOff>136071</xdr:rowOff>
    </xdr:from>
    <xdr:to>
      <xdr:col>27</xdr:col>
      <xdr:colOff>421822</xdr:colOff>
      <xdr:row>103</xdr:row>
      <xdr:rowOff>27214</xdr:rowOff>
    </xdr:to>
    <xdr:cxnSp macro="">
      <xdr:nvCxnSpPr>
        <xdr:cNvPr id="49" name="Straight Connector 48"/>
        <xdr:cNvCxnSpPr/>
      </xdr:nvCxnSpPr>
      <xdr:spPr>
        <a:xfrm flipV="1">
          <a:off x="18247179" y="19553464"/>
          <a:ext cx="13607" cy="7347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435429</xdr:colOff>
      <xdr:row>99</xdr:row>
      <xdr:rowOff>122464</xdr:rowOff>
    </xdr:from>
    <xdr:to>
      <xdr:col>29</xdr:col>
      <xdr:colOff>394607</xdr:colOff>
      <xdr:row>101</xdr:row>
      <xdr:rowOff>108857</xdr:rowOff>
    </xdr:to>
    <xdr:cxnSp macro="">
      <xdr:nvCxnSpPr>
        <xdr:cNvPr id="56" name="Straight Connector 55"/>
        <xdr:cNvCxnSpPr/>
      </xdr:nvCxnSpPr>
      <xdr:spPr>
        <a:xfrm>
          <a:off x="18274393" y="19539857"/>
          <a:ext cx="1319893" cy="3673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408214</xdr:colOff>
      <xdr:row>104</xdr:row>
      <xdr:rowOff>54428</xdr:rowOff>
    </xdr:from>
    <xdr:to>
      <xdr:col>31</xdr:col>
      <xdr:colOff>802822</xdr:colOff>
      <xdr:row>107</xdr:row>
      <xdr:rowOff>40821</xdr:rowOff>
    </xdr:to>
    <xdr:cxnSp macro="">
      <xdr:nvCxnSpPr>
        <xdr:cNvPr id="63" name="Straight Connector 62"/>
        <xdr:cNvCxnSpPr/>
      </xdr:nvCxnSpPr>
      <xdr:spPr>
        <a:xfrm>
          <a:off x="19607893" y="20587607"/>
          <a:ext cx="1782536" cy="5578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789214</xdr:colOff>
      <xdr:row>103</xdr:row>
      <xdr:rowOff>27214</xdr:rowOff>
    </xdr:from>
    <xdr:to>
      <xdr:col>32</xdr:col>
      <xdr:colOff>0</xdr:colOff>
      <xdr:row>107</xdr:row>
      <xdr:rowOff>13607</xdr:rowOff>
    </xdr:to>
    <xdr:cxnSp macro="">
      <xdr:nvCxnSpPr>
        <xdr:cNvPr id="67" name="Straight Connector 66"/>
        <xdr:cNvCxnSpPr/>
      </xdr:nvCxnSpPr>
      <xdr:spPr>
        <a:xfrm flipH="1" flipV="1">
          <a:off x="21376821" y="20288250"/>
          <a:ext cx="27215" cy="8300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16</xdr:row>
      <xdr:rowOff>123825</xdr:rowOff>
    </xdr:from>
    <xdr:to>
      <xdr:col>13</xdr:col>
      <xdr:colOff>123824</xdr:colOff>
      <xdr:row>40</xdr:row>
      <xdr:rowOff>57150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6168" t="26306" r="9506" b="17828"/>
        <a:stretch/>
      </xdr:blipFill>
      <xdr:spPr>
        <a:xfrm>
          <a:off x="152399" y="3171825"/>
          <a:ext cx="7896225" cy="4505325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161925</xdr:colOff>
      <xdr:row>17</xdr:row>
      <xdr:rowOff>66675</xdr:rowOff>
    </xdr:from>
    <xdr:to>
      <xdr:col>24</xdr:col>
      <xdr:colOff>476251</xdr:colOff>
      <xdr:row>38</xdr:row>
      <xdr:rowOff>114300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2581" t="25784" r="13459" b="18870"/>
        <a:stretch/>
      </xdr:blipFill>
      <xdr:spPr>
        <a:xfrm>
          <a:off x="8086725" y="3305175"/>
          <a:ext cx="7019926" cy="4048125"/>
        </a:xfrm>
        <a:prstGeom prst="rect">
          <a:avLst/>
        </a:prstGeom>
      </xdr:spPr>
    </xdr:pic>
    <xdr:clientData/>
  </xdr:twoCellAnchor>
  <xdr:twoCellAnchor>
    <xdr:from>
      <xdr:col>9</xdr:col>
      <xdr:colOff>552450</xdr:colOff>
      <xdr:row>46</xdr:row>
      <xdr:rowOff>76200</xdr:rowOff>
    </xdr:from>
    <xdr:to>
      <xdr:col>14</xdr:col>
      <xdr:colOff>114300</xdr:colOff>
      <xdr:row>46</xdr:row>
      <xdr:rowOff>85725</xdr:rowOff>
    </xdr:to>
    <xdr:cxnSp macro="">
      <xdr:nvCxnSpPr>
        <xdr:cNvPr id="7" name="Straight Connector 6"/>
        <xdr:cNvCxnSpPr/>
      </xdr:nvCxnSpPr>
      <xdr:spPr>
        <a:xfrm flipV="1">
          <a:off x="6038850" y="8839200"/>
          <a:ext cx="2609850" cy="9525"/>
        </a:xfrm>
        <a:prstGeom prst="lin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219075</xdr:colOff>
      <xdr:row>46</xdr:row>
      <xdr:rowOff>152400</xdr:rowOff>
    </xdr:from>
    <xdr:ext cx="261418" cy="264560"/>
    <xdr:sp macro="" textlink="">
      <xdr:nvSpPr>
        <xdr:cNvPr id="8" name="TextBox 7"/>
        <xdr:cNvSpPr txBox="1"/>
      </xdr:nvSpPr>
      <xdr:spPr>
        <a:xfrm>
          <a:off x="5705475" y="8915400"/>
          <a:ext cx="2614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B</a:t>
          </a:r>
        </a:p>
      </xdr:txBody>
    </xdr:sp>
    <xdr:clientData/>
  </xdr:oneCellAnchor>
  <xdr:oneCellAnchor>
    <xdr:from>
      <xdr:col>14</xdr:col>
      <xdr:colOff>114300</xdr:colOff>
      <xdr:row>46</xdr:row>
      <xdr:rowOff>161925</xdr:rowOff>
    </xdr:from>
    <xdr:ext cx="271485" cy="264560"/>
    <xdr:sp macro="" textlink="">
      <xdr:nvSpPr>
        <xdr:cNvPr id="9" name="TextBox 8"/>
        <xdr:cNvSpPr txBox="1"/>
      </xdr:nvSpPr>
      <xdr:spPr>
        <a:xfrm>
          <a:off x="8648700" y="8924925"/>
          <a:ext cx="2714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D</a:t>
          </a:r>
        </a:p>
      </xdr:txBody>
    </xdr:sp>
    <xdr:clientData/>
  </xdr:oneCellAnchor>
  <xdr:twoCellAnchor>
    <xdr:from>
      <xdr:col>9</xdr:col>
      <xdr:colOff>547168</xdr:colOff>
      <xdr:row>44</xdr:row>
      <xdr:rowOff>180975</xdr:rowOff>
    </xdr:from>
    <xdr:to>
      <xdr:col>9</xdr:col>
      <xdr:colOff>561975</xdr:colOff>
      <xdr:row>47</xdr:row>
      <xdr:rowOff>94180</xdr:rowOff>
    </xdr:to>
    <xdr:cxnSp macro="">
      <xdr:nvCxnSpPr>
        <xdr:cNvPr id="11" name="Straight Connector 10"/>
        <xdr:cNvCxnSpPr/>
      </xdr:nvCxnSpPr>
      <xdr:spPr>
        <a:xfrm flipH="1">
          <a:off x="6033568" y="8562975"/>
          <a:ext cx="14807" cy="484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104775</xdr:colOff>
      <xdr:row>45</xdr:row>
      <xdr:rowOff>38100</xdr:rowOff>
    </xdr:from>
    <xdr:to>
      <xdr:col>14</xdr:col>
      <xdr:colOff>119582</xdr:colOff>
      <xdr:row>47</xdr:row>
      <xdr:rowOff>141805</xdr:rowOff>
    </xdr:to>
    <xdr:cxnSp macro="">
      <xdr:nvCxnSpPr>
        <xdr:cNvPr id="12" name="Straight Connector 11"/>
        <xdr:cNvCxnSpPr/>
      </xdr:nvCxnSpPr>
      <xdr:spPr>
        <a:xfrm flipH="1">
          <a:off x="8639175" y="8610600"/>
          <a:ext cx="14807" cy="484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50</xdr:row>
      <xdr:rowOff>38100</xdr:rowOff>
    </xdr:from>
    <xdr:to>
      <xdr:col>14</xdr:col>
      <xdr:colOff>228600</xdr:colOff>
      <xdr:row>50</xdr:row>
      <xdr:rowOff>47625</xdr:rowOff>
    </xdr:to>
    <xdr:cxnSp macro="">
      <xdr:nvCxnSpPr>
        <xdr:cNvPr id="14" name="Straight Connector 13"/>
        <xdr:cNvCxnSpPr/>
      </xdr:nvCxnSpPr>
      <xdr:spPr>
        <a:xfrm>
          <a:off x="5867400" y="9563100"/>
          <a:ext cx="28956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561975</xdr:colOff>
      <xdr:row>49</xdr:row>
      <xdr:rowOff>76200</xdr:rowOff>
    </xdr:from>
    <xdr:to>
      <xdr:col>9</xdr:col>
      <xdr:colOff>571500</xdr:colOff>
      <xdr:row>51</xdr:row>
      <xdr:rowOff>47625</xdr:rowOff>
    </xdr:to>
    <xdr:cxnSp macro="">
      <xdr:nvCxnSpPr>
        <xdr:cNvPr id="16" name="Straight Connector 15"/>
        <xdr:cNvCxnSpPr/>
      </xdr:nvCxnSpPr>
      <xdr:spPr>
        <a:xfrm flipH="1">
          <a:off x="6048375" y="9410700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49</xdr:row>
      <xdr:rowOff>19050</xdr:rowOff>
    </xdr:from>
    <xdr:to>
      <xdr:col>11</xdr:col>
      <xdr:colOff>419100</xdr:colOff>
      <xdr:row>50</xdr:row>
      <xdr:rowOff>180975</xdr:rowOff>
    </xdr:to>
    <xdr:cxnSp macro="">
      <xdr:nvCxnSpPr>
        <xdr:cNvPr id="18" name="Straight Connector 17"/>
        <xdr:cNvCxnSpPr/>
      </xdr:nvCxnSpPr>
      <xdr:spPr>
        <a:xfrm>
          <a:off x="7115175" y="9353550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49</xdr:row>
      <xdr:rowOff>28575</xdr:rowOff>
    </xdr:from>
    <xdr:to>
      <xdr:col>14</xdr:col>
      <xdr:colOff>104775</xdr:colOff>
      <xdr:row>51</xdr:row>
      <xdr:rowOff>0</xdr:rowOff>
    </xdr:to>
    <xdr:cxnSp macro="">
      <xdr:nvCxnSpPr>
        <xdr:cNvPr id="20" name="Straight Connector 19"/>
        <xdr:cNvCxnSpPr/>
      </xdr:nvCxnSpPr>
      <xdr:spPr>
        <a:xfrm>
          <a:off x="8629650" y="9363075"/>
          <a:ext cx="9525" cy="352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45</xdr:row>
      <xdr:rowOff>114300</xdr:rowOff>
    </xdr:from>
    <xdr:to>
      <xdr:col>11</xdr:col>
      <xdr:colOff>390525</xdr:colOff>
      <xdr:row>46</xdr:row>
      <xdr:rowOff>38100</xdr:rowOff>
    </xdr:to>
    <xdr:sp macro="" textlink="">
      <xdr:nvSpPr>
        <xdr:cNvPr id="22" name="Rectangle 21"/>
        <xdr:cNvSpPr/>
      </xdr:nvSpPr>
      <xdr:spPr>
        <a:xfrm>
          <a:off x="6019800" y="8686800"/>
          <a:ext cx="1076325" cy="1143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419100</xdr:colOff>
      <xdr:row>45</xdr:row>
      <xdr:rowOff>66675</xdr:rowOff>
    </xdr:from>
    <xdr:to>
      <xdr:col>14</xdr:col>
      <xdr:colOff>104775</xdr:colOff>
      <xdr:row>46</xdr:row>
      <xdr:rowOff>28575</xdr:rowOff>
    </xdr:to>
    <xdr:sp macro="" textlink="">
      <xdr:nvSpPr>
        <xdr:cNvPr id="23" name="Rectangle 22"/>
        <xdr:cNvSpPr/>
      </xdr:nvSpPr>
      <xdr:spPr>
        <a:xfrm>
          <a:off x="7124700" y="8639175"/>
          <a:ext cx="1514475" cy="1524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400050</xdr:colOff>
      <xdr:row>43</xdr:row>
      <xdr:rowOff>0</xdr:rowOff>
    </xdr:from>
    <xdr:to>
      <xdr:col>11</xdr:col>
      <xdr:colOff>400050</xdr:colOff>
      <xdr:row>44</xdr:row>
      <xdr:rowOff>180975</xdr:rowOff>
    </xdr:to>
    <xdr:cxnSp macro="">
      <xdr:nvCxnSpPr>
        <xdr:cNvPr id="25" name="Straight Arrow Connector 24"/>
        <xdr:cNvCxnSpPr/>
      </xdr:nvCxnSpPr>
      <xdr:spPr>
        <a:xfrm>
          <a:off x="7105650" y="8191500"/>
          <a:ext cx="0" cy="371475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45</xdr:row>
      <xdr:rowOff>28575</xdr:rowOff>
    </xdr:from>
    <xdr:to>
      <xdr:col>10</xdr:col>
      <xdr:colOff>200025</xdr:colOff>
      <xdr:row>47</xdr:row>
      <xdr:rowOff>76200</xdr:rowOff>
    </xdr:to>
    <xdr:sp macro="" textlink="">
      <xdr:nvSpPr>
        <xdr:cNvPr id="26" name="Curved Right Arrow 25"/>
        <xdr:cNvSpPr/>
      </xdr:nvSpPr>
      <xdr:spPr>
        <a:xfrm>
          <a:off x="6124575" y="8601075"/>
          <a:ext cx="171450" cy="4286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514350</xdr:colOff>
      <xdr:row>44</xdr:row>
      <xdr:rowOff>171450</xdr:rowOff>
    </xdr:from>
    <xdr:to>
      <xdr:col>14</xdr:col>
      <xdr:colOff>28575</xdr:colOff>
      <xdr:row>47</xdr:row>
      <xdr:rowOff>57150</xdr:rowOff>
    </xdr:to>
    <xdr:sp macro="" textlink="">
      <xdr:nvSpPr>
        <xdr:cNvPr id="27" name="Curved Left Arrow 26"/>
        <xdr:cNvSpPr/>
      </xdr:nvSpPr>
      <xdr:spPr>
        <a:xfrm>
          <a:off x="8439150" y="8553450"/>
          <a:ext cx="123825" cy="4572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57150</xdr:colOff>
      <xdr:row>47</xdr:row>
      <xdr:rowOff>57150</xdr:rowOff>
    </xdr:from>
    <xdr:ext cx="379399" cy="264560"/>
    <xdr:sp macro="" textlink="">
      <xdr:nvSpPr>
        <xdr:cNvPr id="28" name="TextBox 27"/>
        <xdr:cNvSpPr txBox="1"/>
      </xdr:nvSpPr>
      <xdr:spPr>
        <a:xfrm>
          <a:off x="6153150" y="9010650"/>
          <a:ext cx="3793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Mb</a:t>
          </a:r>
        </a:p>
      </xdr:txBody>
    </xdr:sp>
    <xdr:clientData/>
  </xdr:oneCellAnchor>
  <xdr:oneCellAnchor>
    <xdr:from>
      <xdr:col>13</xdr:col>
      <xdr:colOff>200025</xdr:colOff>
      <xdr:row>47</xdr:row>
      <xdr:rowOff>0</xdr:rowOff>
    </xdr:from>
    <xdr:ext cx="379399" cy="264560"/>
    <xdr:sp macro="" textlink="">
      <xdr:nvSpPr>
        <xdr:cNvPr id="30" name="TextBox 29"/>
        <xdr:cNvSpPr txBox="1"/>
      </xdr:nvSpPr>
      <xdr:spPr>
        <a:xfrm>
          <a:off x="8124825" y="8953500"/>
          <a:ext cx="3793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Md</a:t>
          </a:r>
        </a:p>
      </xdr:txBody>
    </xdr:sp>
    <xdr:clientData/>
  </xdr:oneCellAnchor>
  <xdr:twoCellAnchor>
    <xdr:from>
      <xdr:col>9</xdr:col>
      <xdr:colOff>561975</xdr:colOff>
      <xdr:row>51</xdr:row>
      <xdr:rowOff>114300</xdr:rowOff>
    </xdr:from>
    <xdr:to>
      <xdr:col>9</xdr:col>
      <xdr:colOff>561975</xdr:colOff>
      <xdr:row>53</xdr:row>
      <xdr:rowOff>152400</xdr:rowOff>
    </xdr:to>
    <xdr:cxnSp macro="">
      <xdr:nvCxnSpPr>
        <xdr:cNvPr id="32" name="Straight Arrow Connector 31"/>
        <xdr:cNvCxnSpPr/>
      </xdr:nvCxnSpPr>
      <xdr:spPr>
        <a:xfrm flipV="1">
          <a:off x="6048375" y="9829800"/>
          <a:ext cx="0" cy="419100"/>
        </a:xfrm>
        <a:prstGeom prst="straightConnector1">
          <a:avLst/>
        </a:prstGeom>
        <a:ln w="3810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85725</xdr:colOff>
      <xdr:row>51</xdr:row>
      <xdr:rowOff>38100</xdr:rowOff>
    </xdr:from>
    <xdr:to>
      <xdr:col>14</xdr:col>
      <xdr:colOff>85725</xdr:colOff>
      <xdr:row>53</xdr:row>
      <xdr:rowOff>76200</xdr:rowOff>
    </xdr:to>
    <xdr:cxnSp macro="">
      <xdr:nvCxnSpPr>
        <xdr:cNvPr id="34" name="Straight Arrow Connector 33"/>
        <xdr:cNvCxnSpPr/>
      </xdr:nvCxnSpPr>
      <xdr:spPr>
        <a:xfrm flipV="1">
          <a:off x="8620125" y="9753600"/>
          <a:ext cx="0" cy="4191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0</xdr:colOff>
      <xdr:row>51</xdr:row>
      <xdr:rowOff>0</xdr:rowOff>
    </xdr:from>
    <xdr:ext cx="341440" cy="264560"/>
    <xdr:sp macro="" textlink="">
      <xdr:nvSpPr>
        <xdr:cNvPr id="36" name="TextBox 35"/>
        <xdr:cNvSpPr txBox="1"/>
      </xdr:nvSpPr>
      <xdr:spPr>
        <a:xfrm>
          <a:off x="5486400" y="9715500"/>
          <a:ext cx="3414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VB</a:t>
          </a:r>
        </a:p>
      </xdr:txBody>
    </xdr:sp>
    <xdr:clientData/>
  </xdr:oneCellAnchor>
  <xdr:oneCellAnchor>
    <xdr:from>
      <xdr:col>14</xdr:col>
      <xdr:colOff>114300</xdr:colOff>
      <xdr:row>51</xdr:row>
      <xdr:rowOff>104775</xdr:rowOff>
    </xdr:from>
    <xdr:ext cx="351506" cy="264560"/>
    <xdr:sp macro="" textlink="">
      <xdr:nvSpPr>
        <xdr:cNvPr id="37" name="TextBox 36"/>
        <xdr:cNvSpPr txBox="1"/>
      </xdr:nvSpPr>
      <xdr:spPr>
        <a:xfrm>
          <a:off x="8648700" y="9820275"/>
          <a:ext cx="3515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VD</a:t>
          </a:r>
        </a:p>
      </xdr:txBody>
    </xdr:sp>
    <xdr:clientData/>
  </xdr:oneCellAnchor>
  <xdr:twoCellAnchor>
    <xdr:from>
      <xdr:col>9</xdr:col>
      <xdr:colOff>247650</xdr:colOff>
      <xdr:row>46</xdr:row>
      <xdr:rowOff>180975</xdr:rowOff>
    </xdr:from>
    <xdr:to>
      <xdr:col>9</xdr:col>
      <xdr:colOff>447675</xdr:colOff>
      <xdr:row>48</xdr:row>
      <xdr:rowOff>38100</xdr:rowOff>
    </xdr:to>
    <xdr:sp macro="" textlink="">
      <xdr:nvSpPr>
        <xdr:cNvPr id="2" name="Oval 1"/>
        <xdr:cNvSpPr/>
      </xdr:nvSpPr>
      <xdr:spPr>
        <a:xfrm>
          <a:off x="5734050" y="8943975"/>
          <a:ext cx="2000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142875</xdr:colOff>
      <xdr:row>47</xdr:row>
      <xdr:rowOff>0</xdr:rowOff>
    </xdr:from>
    <xdr:to>
      <xdr:col>14</xdr:col>
      <xdr:colOff>342900</xdr:colOff>
      <xdr:row>48</xdr:row>
      <xdr:rowOff>47625</xdr:rowOff>
    </xdr:to>
    <xdr:sp macro="" textlink="">
      <xdr:nvSpPr>
        <xdr:cNvPr id="29" name="Oval 28"/>
        <xdr:cNvSpPr/>
      </xdr:nvSpPr>
      <xdr:spPr>
        <a:xfrm>
          <a:off x="8677275" y="8953500"/>
          <a:ext cx="2000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topLeftCell="A40" zoomScaleNormal="100" workbookViewId="0">
      <selection activeCell="Y53" sqref="Y53"/>
    </sheetView>
  </sheetViews>
  <sheetFormatPr defaultRowHeight="15" x14ac:dyDescent="0.25"/>
  <cols>
    <col min="1" max="1" width="5.140625" customWidth="1"/>
    <col min="2" max="2" width="36.42578125" customWidth="1"/>
    <col min="3" max="3" width="13.85546875" customWidth="1"/>
    <col min="4" max="4" width="12.140625" customWidth="1"/>
    <col min="5" max="5" width="13.28515625" customWidth="1"/>
    <col min="12" max="12" width="13.140625" customWidth="1"/>
    <col min="14" max="14" width="9.5703125" bestFit="1" customWidth="1"/>
    <col min="19" max="19" width="9.140625" customWidth="1"/>
    <col min="20" max="20" width="11.140625" customWidth="1"/>
    <col min="22" max="22" width="9.140625" customWidth="1"/>
    <col min="24" max="24" width="9.5703125" bestFit="1" customWidth="1"/>
    <col min="25" max="25" width="11.42578125" customWidth="1"/>
  </cols>
  <sheetData>
    <row r="1" spans="1:16" x14ac:dyDescent="0.25">
      <c r="A1" t="s">
        <v>0</v>
      </c>
      <c r="I1" s="3"/>
      <c r="J1" s="3"/>
      <c r="K1" s="3"/>
      <c r="L1" s="3"/>
      <c r="M1" s="3"/>
      <c r="N1" s="3"/>
      <c r="O1" s="3"/>
      <c r="P1" s="3"/>
    </row>
    <row r="2" spans="1:16" x14ac:dyDescent="0.25">
      <c r="A2" t="s">
        <v>1</v>
      </c>
      <c r="I2" s="7" t="s">
        <v>2</v>
      </c>
      <c r="J2" s="4">
        <v>25</v>
      </c>
      <c r="K2" s="3" t="s">
        <v>3</v>
      </c>
      <c r="L2" s="7" t="s">
        <v>4</v>
      </c>
      <c r="M2" s="4">
        <v>0.85</v>
      </c>
      <c r="N2" s="3" t="s">
        <v>5</v>
      </c>
      <c r="O2" s="3"/>
      <c r="P2" s="3"/>
    </row>
    <row r="3" spans="1:16" x14ac:dyDescent="0.25">
      <c r="A3" t="s">
        <v>6</v>
      </c>
      <c r="I3" s="7" t="s">
        <v>7</v>
      </c>
      <c r="J3" s="4">
        <v>240</v>
      </c>
      <c r="K3" s="3" t="s">
        <v>3</v>
      </c>
      <c r="L3" s="3"/>
      <c r="M3" s="3"/>
      <c r="N3" s="3"/>
      <c r="O3" s="3"/>
      <c r="P3" s="3"/>
    </row>
    <row r="4" spans="1:16" x14ac:dyDescent="0.25">
      <c r="I4" s="3"/>
      <c r="J4" s="3"/>
      <c r="K4" s="3"/>
      <c r="L4" s="3"/>
      <c r="M4" s="3"/>
      <c r="N4" s="3"/>
      <c r="O4" s="3"/>
      <c r="P4" s="3"/>
    </row>
    <row r="5" spans="1:16" x14ac:dyDescent="0.25">
      <c r="A5" t="s">
        <v>8</v>
      </c>
      <c r="I5" s="6" t="s">
        <v>9</v>
      </c>
      <c r="J5" s="3"/>
      <c r="K5" s="3"/>
      <c r="L5" s="3"/>
      <c r="M5" s="3"/>
      <c r="N5" s="3"/>
      <c r="O5" s="3"/>
      <c r="P5" s="3"/>
    </row>
    <row r="6" spans="1:16" x14ac:dyDescent="0.25">
      <c r="I6" s="193" t="s">
        <v>10</v>
      </c>
      <c r="J6" s="7" t="s">
        <v>11</v>
      </c>
      <c r="K6" s="7" t="s">
        <v>12</v>
      </c>
      <c r="L6" s="7" t="s">
        <v>30</v>
      </c>
      <c r="M6" s="7" t="s">
        <v>13</v>
      </c>
      <c r="N6" s="7" t="s">
        <v>14</v>
      </c>
      <c r="O6" s="7" t="s">
        <v>15</v>
      </c>
      <c r="P6" s="7" t="s">
        <v>16</v>
      </c>
    </row>
    <row r="7" spans="1:16" x14ac:dyDescent="0.25">
      <c r="I7" s="194"/>
      <c r="J7" s="7" t="s">
        <v>17</v>
      </c>
      <c r="K7" s="7" t="s">
        <v>17</v>
      </c>
      <c r="L7" s="7" t="s">
        <v>17</v>
      </c>
      <c r="M7" s="7" t="s">
        <v>18</v>
      </c>
      <c r="N7" s="7" t="s">
        <v>17</v>
      </c>
      <c r="O7" s="7" t="s">
        <v>17</v>
      </c>
      <c r="P7" s="7" t="s">
        <v>17</v>
      </c>
    </row>
    <row r="8" spans="1:16" x14ac:dyDescent="0.25">
      <c r="A8" t="s">
        <v>19</v>
      </c>
      <c r="I8" s="5" t="s">
        <v>161</v>
      </c>
      <c r="J8" s="5">
        <v>1.5</v>
      </c>
      <c r="K8" s="5">
        <v>3</v>
      </c>
      <c r="L8" s="5">
        <f>MAX(J8:K8)</f>
        <v>3</v>
      </c>
      <c r="M8" s="5">
        <f t="shared" ref="M8:M13" si="0">J8/K8</f>
        <v>0.5</v>
      </c>
      <c r="N8" s="5">
        <f>((0.8+(J$3/1500))/(36+(9*M$2)))*L8</f>
        <v>6.5979381443298971E-2</v>
      </c>
      <c r="O8" s="5">
        <f>((0.8+(J$3/1500))/(36))*L8</f>
        <v>0.08</v>
      </c>
      <c r="P8" s="5">
        <v>0.12</v>
      </c>
    </row>
    <row r="9" spans="1:16" x14ac:dyDescent="0.25">
      <c r="A9" t="s">
        <v>21</v>
      </c>
      <c r="I9" s="5" t="s">
        <v>114</v>
      </c>
      <c r="J9" s="5">
        <v>3.5</v>
      </c>
      <c r="K9" s="5">
        <v>3</v>
      </c>
      <c r="L9" s="5">
        <f t="shared" ref="L9:L13" si="1">MAX(J9:K9)</f>
        <v>3.5</v>
      </c>
      <c r="M9" s="5">
        <f t="shared" si="0"/>
        <v>1.1666666666666667</v>
      </c>
      <c r="N9" s="5">
        <f t="shared" ref="N9:N13" si="2">((0.8+(J$3/1500))/(36+(9*M$2)))*L9</f>
        <v>7.6975945017182135E-2</v>
      </c>
      <c r="O9" s="5">
        <f t="shared" ref="O9:O13" si="3">((0.8+(J$3/1500))/(36))*L9</f>
        <v>9.3333333333333338E-2</v>
      </c>
      <c r="P9" s="5">
        <v>0.12</v>
      </c>
    </row>
    <row r="10" spans="1:16" x14ac:dyDescent="0.25">
      <c r="A10" t="s">
        <v>22</v>
      </c>
      <c r="C10" t="s">
        <v>23</v>
      </c>
      <c r="D10" t="s">
        <v>24</v>
      </c>
      <c r="E10" t="s">
        <v>25</v>
      </c>
      <c r="I10" s="5" t="s">
        <v>162</v>
      </c>
      <c r="J10" s="5">
        <v>3.5</v>
      </c>
      <c r="K10" s="5">
        <v>3.5</v>
      </c>
      <c r="L10" s="5">
        <f t="shared" si="1"/>
        <v>3.5</v>
      </c>
      <c r="M10" s="5">
        <f t="shared" si="0"/>
        <v>1</v>
      </c>
      <c r="N10" s="5">
        <f t="shared" si="2"/>
        <v>7.6975945017182135E-2</v>
      </c>
      <c r="O10" s="5">
        <f t="shared" si="3"/>
        <v>9.3333333333333338E-2</v>
      </c>
      <c r="P10" s="5">
        <v>0.12</v>
      </c>
    </row>
    <row r="11" spans="1:16" x14ac:dyDescent="0.25">
      <c r="A11" t="s">
        <v>26</v>
      </c>
      <c r="C11" t="s">
        <v>23</v>
      </c>
      <c r="D11" t="s">
        <v>27</v>
      </c>
      <c r="F11" t="s">
        <v>28</v>
      </c>
      <c r="I11" s="5" t="s">
        <v>111</v>
      </c>
      <c r="J11" s="5">
        <v>4</v>
      </c>
      <c r="K11" s="5">
        <v>1.7250000000000001</v>
      </c>
      <c r="L11" s="5">
        <f t="shared" si="1"/>
        <v>4</v>
      </c>
      <c r="M11" s="5">
        <f t="shared" si="0"/>
        <v>2.318840579710145</v>
      </c>
      <c r="N11" s="5">
        <f t="shared" si="2"/>
        <v>8.7972508591065299E-2</v>
      </c>
      <c r="O11" s="5">
        <f t="shared" si="3"/>
        <v>0.10666666666666667</v>
      </c>
      <c r="P11" s="5">
        <v>0.12</v>
      </c>
    </row>
    <row r="12" spans="1:16" x14ac:dyDescent="0.25">
      <c r="C12" t="s">
        <v>23</v>
      </c>
      <c r="D12" t="s">
        <v>29</v>
      </c>
      <c r="I12" s="5" t="s">
        <v>163</v>
      </c>
      <c r="J12" s="5">
        <v>2</v>
      </c>
      <c r="K12" s="5">
        <v>3.5</v>
      </c>
      <c r="L12" s="5">
        <f t="shared" si="1"/>
        <v>3.5</v>
      </c>
      <c r="M12" s="5">
        <f t="shared" si="0"/>
        <v>0.5714285714285714</v>
      </c>
      <c r="N12" s="5">
        <f t="shared" si="2"/>
        <v>7.6975945017182135E-2</v>
      </c>
      <c r="O12" s="5">
        <f t="shared" si="3"/>
        <v>9.3333333333333338E-2</v>
      </c>
      <c r="P12" s="5">
        <v>0.12</v>
      </c>
    </row>
    <row r="13" spans="1:16" x14ac:dyDescent="0.25">
      <c r="I13" s="5" t="s">
        <v>164</v>
      </c>
      <c r="J13" s="5">
        <v>2.5</v>
      </c>
      <c r="K13" s="5">
        <v>2</v>
      </c>
      <c r="L13" s="5">
        <f t="shared" si="1"/>
        <v>2.5</v>
      </c>
      <c r="M13" s="5">
        <f t="shared" si="0"/>
        <v>1.25</v>
      </c>
      <c r="N13" s="5">
        <f t="shared" si="2"/>
        <v>5.4982817869415813E-2</v>
      </c>
      <c r="O13" s="5">
        <f t="shared" si="3"/>
        <v>6.6666666666666666E-2</v>
      </c>
      <c r="P13" s="5">
        <v>0.12</v>
      </c>
    </row>
    <row r="17" spans="1:5" x14ac:dyDescent="0.25">
      <c r="A17" t="s">
        <v>31</v>
      </c>
    </row>
    <row r="18" spans="1:5" x14ac:dyDescent="0.25">
      <c r="A18" t="s">
        <v>32</v>
      </c>
    </row>
    <row r="19" spans="1:5" x14ac:dyDescent="0.25">
      <c r="A19" s="7" t="s">
        <v>33</v>
      </c>
      <c r="B19" s="7" t="s">
        <v>34</v>
      </c>
      <c r="C19" s="7" t="s">
        <v>35</v>
      </c>
      <c r="D19" s="7" t="s">
        <v>36</v>
      </c>
      <c r="E19" s="7" t="s">
        <v>37</v>
      </c>
    </row>
    <row r="20" spans="1:5" x14ac:dyDescent="0.25">
      <c r="A20" s="4">
        <v>1</v>
      </c>
      <c r="B20" s="4" t="s">
        <v>38</v>
      </c>
      <c r="C20" s="4">
        <v>24</v>
      </c>
      <c r="D20" s="4">
        <v>0.12</v>
      </c>
      <c r="E20" s="4">
        <f>C20*D20</f>
        <v>2.88</v>
      </c>
    </row>
    <row r="21" spans="1:5" x14ac:dyDescent="0.25">
      <c r="A21" s="4">
        <v>2</v>
      </c>
      <c r="B21" s="4" t="s">
        <v>39</v>
      </c>
      <c r="C21" s="4">
        <v>21</v>
      </c>
      <c r="D21" s="4">
        <v>0.03</v>
      </c>
      <c r="E21" s="4">
        <f>C21*D21</f>
        <v>0.63</v>
      </c>
    </row>
    <row r="22" spans="1:5" x14ac:dyDescent="0.25">
      <c r="A22" s="4">
        <v>3</v>
      </c>
      <c r="B22" s="4" t="s">
        <v>40</v>
      </c>
      <c r="C22" s="4">
        <v>0.24</v>
      </c>
      <c r="D22" s="4" t="s">
        <v>41</v>
      </c>
      <c r="E22" s="4">
        <f>C22</f>
        <v>0.24</v>
      </c>
    </row>
    <row r="23" spans="1:5" x14ac:dyDescent="0.25">
      <c r="A23" s="4">
        <v>4</v>
      </c>
      <c r="B23" s="4" t="s">
        <v>42</v>
      </c>
      <c r="C23" s="4">
        <v>14</v>
      </c>
      <c r="D23" s="4">
        <v>0.03</v>
      </c>
      <c r="E23" s="4">
        <f>D23*C23</f>
        <v>0.42</v>
      </c>
    </row>
    <row r="24" spans="1:5" x14ac:dyDescent="0.25">
      <c r="A24" s="4">
        <v>5</v>
      </c>
      <c r="B24" s="4" t="s">
        <v>43</v>
      </c>
      <c r="C24" s="4">
        <f>0.11+0.08</f>
        <v>0.19</v>
      </c>
      <c r="D24" s="4" t="s">
        <v>41</v>
      </c>
      <c r="E24" s="4">
        <f>C24</f>
        <v>0.19</v>
      </c>
    </row>
    <row r="25" spans="1:5" x14ac:dyDescent="0.25">
      <c r="A25" s="195" t="s">
        <v>44</v>
      </c>
      <c r="B25" s="196"/>
      <c r="C25" s="195" t="s">
        <v>45</v>
      </c>
      <c r="D25" s="196"/>
      <c r="E25" s="4">
        <f>SUM(E20:E24)</f>
        <v>4.3600000000000003</v>
      </c>
    </row>
    <row r="27" spans="1:5" x14ac:dyDescent="0.25">
      <c r="A27" t="s">
        <v>46</v>
      </c>
    </row>
    <row r="28" spans="1:5" x14ac:dyDescent="0.25">
      <c r="A28" t="s">
        <v>47</v>
      </c>
      <c r="C28">
        <v>200</v>
      </c>
      <c r="D28" t="s">
        <v>48</v>
      </c>
    </row>
    <row r="29" spans="1:5" x14ac:dyDescent="0.25">
      <c r="B29" s="4" t="s">
        <v>143</v>
      </c>
      <c r="C29" s="10">
        <f>C28/100</f>
        <v>2</v>
      </c>
      <c r="D29" t="s">
        <v>49</v>
      </c>
    </row>
    <row r="31" spans="1:5" x14ac:dyDescent="0.25">
      <c r="A31" t="s">
        <v>50</v>
      </c>
    </row>
    <row r="32" spans="1:5" x14ac:dyDescent="0.25">
      <c r="A32" t="s">
        <v>51</v>
      </c>
    </row>
    <row r="33" spans="1:30" x14ac:dyDescent="0.25">
      <c r="B33" s="2" t="s">
        <v>52</v>
      </c>
      <c r="C33" s="2" t="s">
        <v>142</v>
      </c>
      <c r="D33" t="s">
        <v>49</v>
      </c>
    </row>
    <row r="34" spans="1:30" x14ac:dyDescent="0.25">
      <c r="B34" s="2" t="s">
        <v>52</v>
      </c>
      <c r="C34" s="11">
        <f>(1.2*E25)+(1.6*C29)</f>
        <v>8.4320000000000004</v>
      </c>
      <c r="D34" t="s">
        <v>49</v>
      </c>
    </row>
    <row r="36" spans="1:30" x14ac:dyDescent="0.25">
      <c r="A36" t="s">
        <v>53</v>
      </c>
      <c r="I36" t="s">
        <v>54</v>
      </c>
    </row>
    <row r="37" spans="1:30" x14ac:dyDescent="0.25">
      <c r="I37" s="193" t="s">
        <v>10</v>
      </c>
      <c r="J37" s="7" t="s">
        <v>55</v>
      </c>
      <c r="K37" s="7" t="s">
        <v>12</v>
      </c>
      <c r="L37" s="7" t="s">
        <v>56</v>
      </c>
      <c r="M37" s="193" t="s">
        <v>57</v>
      </c>
      <c r="N37" s="193" t="s">
        <v>58</v>
      </c>
      <c r="O37" s="193" t="s">
        <v>59</v>
      </c>
      <c r="P37" s="193" t="s">
        <v>60</v>
      </c>
      <c r="Q37" s="193" t="s">
        <v>61</v>
      </c>
      <c r="R37" s="193" t="s">
        <v>62</v>
      </c>
      <c r="S37" s="193" t="s">
        <v>63</v>
      </c>
      <c r="T37" s="193" t="s">
        <v>64</v>
      </c>
      <c r="U37" s="7" t="s">
        <v>65</v>
      </c>
      <c r="V37" s="200" t="s">
        <v>167</v>
      </c>
      <c r="W37" s="200"/>
    </row>
    <row r="38" spans="1:30" x14ac:dyDescent="0.25">
      <c r="A38" t="s">
        <v>67</v>
      </c>
      <c r="C38" s="4" t="s">
        <v>68</v>
      </c>
      <c r="D38" s="4" t="s">
        <v>69</v>
      </c>
      <c r="E38" s="4"/>
      <c r="I38" s="194"/>
      <c r="J38" s="7" t="s">
        <v>17</v>
      </c>
      <c r="K38" s="7" t="s">
        <v>17</v>
      </c>
      <c r="L38" s="7"/>
      <c r="M38" s="194"/>
      <c r="N38" s="194"/>
      <c r="O38" s="194"/>
      <c r="P38" s="194"/>
      <c r="Q38" s="194"/>
      <c r="R38" s="194"/>
      <c r="S38" s="194"/>
      <c r="T38" s="194"/>
      <c r="U38" s="7" t="s">
        <v>66</v>
      </c>
      <c r="V38" s="200" t="s">
        <v>66</v>
      </c>
      <c r="W38" s="200"/>
    </row>
    <row r="39" spans="1:30" x14ac:dyDescent="0.25">
      <c r="A39" t="s">
        <v>70</v>
      </c>
      <c r="C39" s="4" t="s">
        <v>71</v>
      </c>
      <c r="D39" s="4" t="s">
        <v>72</v>
      </c>
      <c r="E39" s="4"/>
      <c r="I39" s="5" t="s">
        <v>161</v>
      </c>
      <c r="J39" s="5">
        <v>1.5</v>
      </c>
      <c r="K39" s="5">
        <v>3</v>
      </c>
      <c r="L39" s="12">
        <f>J39/K39</f>
        <v>0.5</v>
      </c>
      <c r="M39" s="4">
        <v>41</v>
      </c>
      <c r="N39" s="4">
        <v>12</v>
      </c>
      <c r="O39" s="4">
        <v>83</v>
      </c>
      <c r="P39" s="4">
        <v>57</v>
      </c>
      <c r="Q39" s="5">
        <f>M39*0.001*C$34*K39*K39</f>
        <v>3.111408</v>
      </c>
      <c r="R39" s="5">
        <f>N39*0.001*C$34*K39*K39</f>
        <v>0.91065600000000013</v>
      </c>
      <c r="S39" s="5">
        <f>O39*0.001*C$34*K39*K39</f>
        <v>6.2987040000000007</v>
      </c>
      <c r="T39" s="5">
        <f>P39*0.001*C$34*K39*K39</f>
        <v>4.3256160000000001</v>
      </c>
      <c r="U39" s="5">
        <f>S39</f>
        <v>6.2987040000000007</v>
      </c>
      <c r="V39" s="201">
        <f>MAX(U39:U44)</f>
        <v>8.4699440000000017</v>
      </c>
      <c r="W39" s="202"/>
    </row>
    <row r="40" spans="1:30" x14ac:dyDescent="0.25">
      <c r="A40" t="s">
        <v>73</v>
      </c>
      <c r="C40" s="4" t="s">
        <v>74</v>
      </c>
      <c r="D40" s="4" t="s">
        <v>75</v>
      </c>
      <c r="E40" s="4"/>
      <c r="I40" s="5" t="s">
        <v>114</v>
      </c>
      <c r="J40" s="5">
        <v>3.5</v>
      </c>
      <c r="K40" s="5">
        <v>3</v>
      </c>
      <c r="L40" s="12">
        <f t="shared" ref="L40:L44" si="4">J40/K40</f>
        <v>1.1666666666666667</v>
      </c>
      <c r="M40" s="4">
        <v>28</v>
      </c>
      <c r="N40" s="4">
        <v>20</v>
      </c>
      <c r="O40" s="4">
        <v>64</v>
      </c>
      <c r="P40" s="4">
        <v>56</v>
      </c>
      <c r="Q40" s="5">
        <f t="shared" ref="Q40:Q44" si="5">M40*0.001*C$34*K40*K40</f>
        <v>2.1248640000000001</v>
      </c>
      <c r="R40" s="5">
        <f t="shared" ref="R40:R44" si="6">N40*0.001*C$34*K40*K40</f>
        <v>1.51776</v>
      </c>
      <c r="S40" s="5">
        <f t="shared" ref="S40:S44" si="7">O40*0.001*C$34*K40*K40</f>
        <v>4.8568319999999998</v>
      </c>
      <c r="T40" s="5">
        <f t="shared" ref="T40:T44" si="8">P40*0.001*C$34*K40*K40</f>
        <v>4.2497280000000002</v>
      </c>
      <c r="U40" s="5">
        <f t="shared" ref="U40:U44" si="9">S40</f>
        <v>4.8568319999999998</v>
      </c>
      <c r="V40" s="203"/>
      <c r="W40" s="204"/>
    </row>
    <row r="41" spans="1:30" x14ac:dyDescent="0.25">
      <c r="A41" t="s">
        <v>76</v>
      </c>
      <c r="C41" s="4" t="s">
        <v>64</v>
      </c>
      <c r="D41" s="4" t="s">
        <v>77</v>
      </c>
      <c r="E41" s="4"/>
      <c r="I41" s="5" t="s">
        <v>162</v>
      </c>
      <c r="J41" s="5">
        <v>3.5</v>
      </c>
      <c r="K41" s="5">
        <v>3.5</v>
      </c>
      <c r="L41" s="12">
        <f t="shared" si="4"/>
        <v>1</v>
      </c>
      <c r="M41" s="4">
        <v>21</v>
      </c>
      <c r="N41" s="4">
        <v>21</v>
      </c>
      <c r="O41" s="4">
        <v>52</v>
      </c>
      <c r="P41" s="4">
        <v>52</v>
      </c>
      <c r="Q41" s="5">
        <f t="shared" si="5"/>
        <v>2.1691320000000003</v>
      </c>
      <c r="R41" s="5">
        <f t="shared" si="6"/>
        <v>2.1691320000000003</v>
      </c>
      <c r="S41" s="5">
        <f t="shared" si="7"/>
        <v>5.3711840000000004</v>
      </c>
      <c r="T41" s="5">
        <f t="shared" si="8"/>
        <v>5.3711840000000004</v>
      </c>
      <c r="U41" s="5">
        <f t="shared" si="9"/>
        <v>5.3711840000000004</v>
      </c>
      <c r="V41" s="203"/>
      <c r="W41" s="204"/>
    </row>
    <row r="42" spans="1:30" x14ac:dyDescent="0.25">
      <c r="A42" t="s">
        <v>78</v>
      </c>
      <c r="I42" s="5" t="s">
        <v>111</v>
      </c>
      <c r="J42" s="5">
        <v>4</v>
      </c>
      <c r="K42" s="5">
        <v>1.7250000000000001</v>
      </c>
      <c r="L42" s="12">
        <f t="shared" si="4"/>
        <v>2.318840579710145</v>
      </c>
      <c r="M42" s="4">
        <v>42</v>
      </c>
      <c r="N42" s="4">
        <v>11</v>
      </c>
      <c r="O42" s="4">
        <v>83</v>
      </c>
      <c r="P42" s="4">
        <v>57</v>
      </c>
      <c r="Q42" s="5">
        <f t="shared" si="5"/>
        <v>1.0537997400000001</v>
      </c>
      <c r="R42" s="5">
        <f t="shared" si="6"/>
        <v>0.27599517000000001</v>
      </c>
      <c r="S42" s="5">
        <f t="shared" si="7"/>
        <v>2.0825090100000003</v>
      </c>
      <c r="T42" s="5">
        <f t="shared" si="8"/>
        <v>1.4301567900000003</v>
      </c>
      <c r="U42" s="5">
        <f t="shared" si="9"/>
        <v>2.0825090100000003</v>
      </c>
      <c r="V42" s="203"/>
      <c r="W42" s="204"/>
    </row>
    <row r="43" spans="1:30" x14ac:dyDescent="0.25">
      <c r="I43" s="5" t="s">
        <v>163</v>
      </c>
      <c r="J43" s="5">
        <v>2</v>
      </c>
      <c r="K43" s="5">
        <v>3.5</v>
      </c>
      <c r="L43" s="12">
        <f t="shared" si="4"/>
        <v>0.5714285714285714</v>
      </c>
      <c r="M43" s="4">
        <v>40</v>
      </c>
      <c r="N43" s="4">
        <v>13</v>
      </c>
      <c r="O43" s="4">
        <v>82</v>
      </c>
      <c r="P43" s="4">
        <v>57</v>
      </c>
      <c r="Q43" s="5">
        <f t="shared" si="5"/>
        <v>4.1316800000000011</v>
      </c>
      <c r="R43" s="5">
        <f t="shared" si="6"/>
        <v>1.3427960000000001</v>
      </c>
      <c r="S43" s="5">
        <f t="shared" si="7"/>
        <v>8.4699440000000017</v>
      </c>
      <c r="T43" s="5">
        <f t="shared" si="8"/>
        <v>5.8876440000000008</v>
      </c>
      <c r="U43" s="5">
        <f t="shared" si="9"/>
        <v>8.4699440000000017</v>
      </c>
      <c r="V43" s="203"/>
      <c r="W43" s="204"/>
    </row>
    <row r="44" spans="1:30" x14ac:dyDescent="0.25">
      <c r="I44" s="5" t="s">
        <v>164</v>
      </c>
      <c r="J44" s="5">
        <v>2.5</v>
      </c>
      <c r="K44" s="5">
        <v>2</v>
      </c>
      <c r="L44" s="12">
        <f t="shared" si="4"/>
        <v>1.25</v>
      </c>
      <c r="M44" s="4">
        <v>31</v>
      </c>
      <c r="N44" s="4">
        <v>19</v>
      </c>
      <c r="O44" s="4">
        <v>69</v>
      </c>
      <c r="P44" s="4">
        <v>57</v>
      </c>
      <c r="Q44" s="5">
        <f t="shared" si="5"/>
        <v>1.0455680000000001</v>
      </c>
      <c r="R44" s="5">
        <f t="shared" si="6"/>
        <v>0.64083200000000007</v>
      </c>
      <c r="S44" s="5">
        <f t="shared" si="7"/>
        <v>2.3272320000000004</v>
      </c>
      <c r="T44" s="5">
        <f t="shared" si="8"/>
        <v>1.9224960000000002</v>
      </c>
      <c r="U44" s="5">
        <f t="shared" si="9"/>
        <v>2.3272320000000004</v>
      </c>
      <c r="V44" s="205"/>
      <c r="W44" s="206"/>
    </row>
    <row r="46" spans="1:30" x14ac:dyDescent="0.25">
      <c r="A46" t="s">
        <v>79</v>
      </c>
    </row>
    <row r="47" spans="1:30" x14ac:dyDescent="0.25">
      <c r="I47" t="s">
        <v>80</v>
      </c>
    </row>
    <row r="48" spans="1:30" x14ac:dyDescent="0.25">
      <c r="A48" t="s">
        <v>99</v>
      </c>
      <c r="I48" s="193" t="s">
        <v>81</v>
      </c>
      <c r="J48" s="7" t="s">
        <v>82</v>
      </c>
      <c r="K48" s="7" t="s">
        <v>83</v>
      </c>
      <c r="L48" s="7" t="s">
        <v>84</v>
      </c>
      <c r="M48" s="193" t="s">
        <v>4</v>
      </c>
      <c r="N48" s="193" t="s">
        <v>85</v>
      </c>
      <c r="O48" s="193" t="s">
        <v>86</v>
      </c>
      <c r="P48" s="7" t="s">
        <v>87</v>
      </c>
      <c r="Q48" s="7" t="s">
        <v>88</v>
      </c>
      <c r="R48" s="7" t="s">
        <v>89</v>
      </c>
      <c r="S48" s="17" t="s">
        <v>165</v>
      </c>
      <c r="T48" s="9" t="s">
        <v>172</v>
      </c>
      <c r="U48" s="7" t="s">
        <v>90</v>
      </c>
      <c r="V48" s="17" t="s">
        <v>91</v>
      </c>
      <c r="W48" s="193" t="s">
        <v>92</v>
      </c>
      <c r="X48" s="193" t="s">
        <v>93</v>
      </c>
      <c r="Y48" s="193" t="s">
        <v>94</v>
      </c>
      <c r="Z48" s="7" t="s">
        <v>95</v>
      </c>
      <c r="AA48" s="7" t="s">
        <v>96</v>
      </c>
      <c r="AB48" s="7" t="s">
        <v>146</v>
      </c>
      <c r="AC48" s="7" t="s">
        <v>97</v>
      </c>
      <c r="AD48" s="7" t="s">
        <v>98</v>
      </c>
    </row>
    <row r="49" spans="1:30" x14ac:dyDescent="0.25">
      <c r="A49" t="s">
        <v>173</v>
      </c>
      <c r="C49" s="13" t="s">
        <v>83</v>
      </c>
      <c r="D49" s="195">
        <v>10</v>
      </c>
      <c r="E49" s="207"/>
      <c r="F49" s="196"/>
      <c r="I49" s="194"/>
      <c r="J49" s="7" t="s">
        <v>100</v>
      </c>
      <c r="K49" s="7" t="s">
        <v>100</v>
      </c>
      <c r="L49" s="7" t="s">
        <v>100</v>
      </c>
      <c r="M49" s="194"/>
      <c r="N49" s="194"/>
      <c r="O49" s="194"/>
      <c r="P49" s="7" t="s">
        <v>100</v>
      </c>
      <c r="Q49" s="7" t="s">
        <v>100</v>
      </c>
      <c r="R49" s="7" t="s">
        <v>100</v>
      </c>
      <c r="S49" s="19" t="str">
        <f>U38</f>
        <v>(KNm/m)</v>
      </c>
      <c r="T49" s="7" t="s">
        <v>101</v>
      </c>
      <c r="U49" s="7" t="s">
        <v>100</v>
      </c>
      <c r="V49" s="18"/>
      <c r="W49" s="194"/>
      <c r="X49" s="194"/>
      <c r="Y49" s="194"/>
      <c r="Z49" s="7" t="s">
        <v>102</v>
      </c>
      <c r="AA49" s="7" t="s">
        <v>100</v>
      </c>
      <c r="AB49" s="7" t="s">
        <v>100</v>
      </c>
      <c r="AC49" s="7" t="s">
        <v>100</v>
      </c>
      <c r="AD49" s="7" t="s">
        <v>102</v>
      </c>
    </row>
    <row r="50" spans="1:30" x14ac:dyDescent="0.25">
      <c r="A50" t="s">
        <v>103</v>
      </c>
      <c r="C50" s="4" t="s">
        <v>4</v>
      </c>
      <c r="D50" s="195">
        <f>M2</f>
        <v>0.85</v>
      </c>
      <c r="E50" s="207"/>
      <c r="F50" s="196"/>
      <c r="I50" s="5" t="s">
        <v>161</v>
      </c>
      <c r="J50" s="4">
        <f>P$8*1000</f>
        <v>120</v>
      </c>
      <c r="K50" s="4">
        <v>10</v>
      </c>
      <c r="L50" s="4">
        <f>D$56</f>
        <v>25</v>
      </c>
      <c r="M50" s="4">
        <f>M$2</f>
        <v>0.85</v>
      </c>
      <c r="N50" s="21">
        <f>(0.85*J$2/J$3)*M$2*(600/(600+J$3))</f>
        <v>5.3757440476190473E-2</v>
      </c>
      <c r="O50" s="4">
        <v>0.8</v>
      </c>
      <c r="P50" s="4">
        <f t="shared" ref="P50:P55" si="10">L50+(K50/2)</f>
        <v>30</v>
      </c>
      <c r="Q50" s="4">
        <f t="shared" ref="Q50:Q55" si="11">J50-P50</f>
        <v>90</v>
      </c>
      <c r="R50" s="4">
        <v>1000</v>
      </c>
      <c r="S50" s="5">
        <f>V$39</f>
        <v>8.4699440000000017</v>
      </c>
      <c r="T50" s="21">
        <f>S50/O50</f>
        <v>10.587430000000001</v>
      </c>
      <c r="U50" s="21">
        <f t="shared" ref="U50:U55" si="12">T50*1000000/(R50*Q50*Q50)</f>
        <v>1.3070901234567904</v>
      </c>
      <c r="V50" s="20">
        <f t="shared" ref="V50:V55" si="13">0.85*(J$2/J$3)*(1-(SQRT(1-2*U50/(0.85*J$2))))</f>
        <v>5.6248775385026638E-3</v>
      </c>
      <c r="W50" s="20">
        <f t="shared" ref="W50:W55" si="14">1.4/J$3</f>
        <v>5.8333333333333327E-3</v>
      </c>
      <c r="X50" s="20">
        <f t="shared" ref="X50:X55" si="15">0.75*N50</f>
        <v>4.0318080357142856E-2</v>
      </c>
      <c r="Y50" s="22">
        <f>MAX(V50:W55)</f>
        <v>5.8333333333333327E-3</v>
      </c>
      <c r="Z50" s="4">
        <f t="shared" ref="Z50:Z55" si="16">Y50*R50*Q50</f>
        <v>525</v>
      </c>
      <c r="AA50" s="4">
        <f t="shared" ref="AA50:AA55" si="17">0.25*3.14*K50*K50*R50/Z50</f>
        <v>149.52380952380952</v>
      </c>
      <c r="AB50" s="4">
        <f>125</f>
        <v>125</v>
      </c>
      <c r="AC50" s="4">
        <v>200</v>
      </c>
      <c r="AD50" s="4">
        <f t="shared" ref="AD50:AD55" si="18">0.25*3.14*K50*K50*R50/AB50</f>
        <v>628</v>
      </c>
    </row>
    <row r="51" spans="1:30" x14ac:dyDescent="0.25">
      <c r="A51" t="s">
        <v>104</v>
      </c>
      <c r="C51" s="4" t="s">
        <v>85</v>
      </c>
      <c r="D51" s="195" t="s">
        <v>144</v>
      </c>
      <c r="E51" s="207"/>
      <c r="F51" s="196"/>
      <c r="I51" s="5" t="s">
        <v>114</v>
      </c>
      <c r="J51" s="4">
        <f t="shared" ref="J51:J55" si="19">P$8*1000</f>
        <v>120</v>
      </c>
      <c r="K51" s="4">
        <f t="shared" ref="K51:K55" si="20">D$69</f>
        <v>10</v>
      </c>
      <c r="L51" s="4">
        <f t="shared" ref="L51:L55" si="21">D$56</f>
        <v>25</v>
      </c>
      <c r="M51" s="4">
        <f t="shared" ref="M51:M55" si="22">M$2</f>
        <v>0.85</v>
      </c>
      <c r="N51" s="21">
        <f t="shared" ref="N51:N55" si="23">(0.85*J$2/J$3)*M$2*(600/(600+J$3))</f>
        <v>5.3757440476190473E-2</v>
      </c>
      <c r="O51" s="4">
        <v>0.8</v>
      </c>
      <c r="P51" s="4">
        <f t="shared" si="10"/>
        <v>30</v>
      </c>
      <c r="Q51" s="4">
        <f t="shared" si="11"/>
        <v>90</v>
      </c>
      <c r="R51" s="4">
        <v>1000</v>
      </c>
      <c r="S51" s="5">
        <f t="shared" ref="S51:S55" si="24">V$39</f>
        <v>8.4699440000000017</v>
      </c>
      <c r="T51" s="21">
        <f t="shared" ref="T51:T55" si="25">S51/O51</f>
        <v>10.587430000000001</v>
      </c>
      <c r="U51" s="21">
        <f t="shared" si="12"/>
        <v>1.3070901234567904</v>
      </c>
      <c r="V51" s="20">
        <f t="shared" si="13"/>
        <v>5.6248775385026638E-3</v>
      </c>
      <c r="W51" s="20">
        <f t="shared" si="14"/>
        <v>5.8333333333333327E-3</v>
      </c>
      <c r="X51" s="20">
        <f t="shared" si="15"/>
        <v>4.0318080357142856E-2</v>
      </c>
      <c r="Y51" s="22">
        <f t="shared" ref="Y51:Y55" si="26">MAX(V51:W56)</f>
        <v>5.8333333333333327E-3</v>
      </c>
      <c r="Z51" s="4">
        <f t="shared" si="16"/>
        <v>525</v>
      </c>
      <c r="AA51" s="4">
        <f t="shared" si="17"/>
        <v>149.52380952380952</v>
      </c>
      <c r="AB51" s="4">
        <f>125</f>
        <v>125</v>
      </c>
      <c r="AC51" s="4">
        <v>200</v>
      </c>
      <c r="AD51" s="4">
        <f t="shared" si="18"/>
        <v>628</v>
      </c>
    </row>
    <row r="52" spans="1:30" x14ac:dyDescent="0.25">
      <c r="A52" t="s">
        <v>105</v>
      </c>
      <c r="C52" s="4" t="s">
        <v>86</v>
      </c>
      <c r="D52" s="195">
        <v>0.8</v>
      </c>
      <c r="E52" s="207"/>
      <c r="F52" s="196"/>
      <c r="I52" s="5" t="s">
        <v>162</v>
      </c>
      <c r="J52" s="4">
        <f t="shared" si="19"/>
        <v>120</v>
      </c>
      <c r="K52" s="4">
        <f t="shared" si="20"/>
        <v>10</v>
      </c>
      <c r="L52" s="4">
        <f t="shared" si="21"/>
        <v>25</v>
      </c>
      <c r="M52" s="4">
        <f t="shared" si="22"/>
        <v>0.85</v>
      </c>
      <c r="N52" s="21">
        <f t="shared" si="23"/>
        <v>5.3757440476190473E-2</v>
      </c>
      <c r="O52" s="4">
        <v>0.8</v>
      </c>
      <c r="P52" s="4">
        <f t="shared" si="10"/>
        <v>30</v>
      </c>
      <c r="Q52" s="4">
        <f t="shared" si="11"/>
        <v>90</v>
      </c>
      <c r="R52" s="4">
        <v>1000</v>
      </c>
      <c r="S52" s="5">
        <f t="shared" si="24"/>
        <v>8.4699440000000017</v>
      </c>
      <c r="T52" s="21">
        <f t="shared" si="25"/>
        <v>10.587430000000001</v>
      </c>
      <c r="U52" s="21">
        <f t="shared" si="12"/>
        <v>1.3070901234567904</v>
      </c>
      <c r="V52" s="20">
        <f t="shared" si="13"/>
        <v>5.6248775385026638E-3</v>
      </c>
      <c r="W52" s="20">
        <f t="shared" si="14"/>
        <v>5.8333333333333327E-3</v>
      </c>
      <c r="X52" s="20">
        <f t="shared" si="15"/>
        <v>4.0318080357142856E-2</v>
      </c>
      <c r="Y52" s="22">
        <f t="shared" si="26"/>
        <v>5.8333333333333327E-3</v>
      </c>
      <c r="Z52" s="4">
        <f t="shared" si="16"/>
        <v>525</v>
      </c>
      <c r="AA52" s="4">
        <f t="shared" si="17"/>
        <v>149.52380952380952</v>
      </c>
      <c r="AB52" s="4">
        <f>125</f>
        <v>125</v>
      </c>
      <c r="AC52" s="4">
        <v>200</v>
      </c>
      <c r="AD52" s="4">
        <f t="shared" si="18"/>
        <v>628</v>
      </c>
    </row>
    <row r="53" spans="1:30" x14ac:dyDescent="0.25">
      <c r="A53" t="s">
        <v>106</v>
      </c>
      <c r="C53" s="4" t="s">
        <v>107</v>
      </c>
      <c r="D53" s="195" t="s">
        <v>108</v>
      </c>
      <c r="E53" s="207"/>
      <c r="F53" s="196"/>
      <c r="G53" t="s">
        <v>109</v>
      </c>
      <c r="I53" s="5" t="s">
        <v>111</v>
      </c>
      <c r="J53" s="4">
        <f t="shared" si="19"/>
        <v>120</v>
      </c>
      <c r="K53" s="4">
        <f t="shared" si="20"/>
        <v>10</v>
      </c>
      <c r="L53" s="4">
        <f t="shared" si="21"/>
        <v>25</v>
      </c>
      <c r="M53" s="4">
        <f t="shared" si="22"/>
        <v>0.85</v>
      </c>
      <c r="N53" s="21">
        <f t="shared" si="23"/>
        <v>5.3757440476190473E-2</v>
      </c>
      <c r="O53" s="4">
        <v>0.8</v>
      </c>
      <c r="P53" s="4">
        <f t="shared" si="10"/>
        <v>30</v>
      </c>
      <c r="Q53" s="4">
        <f t="shared" si="11"/>
        <v>90</v>
      </c>
      <c r="R53" s="4">
        <v>1000</v>
      </c>
      <c r="S53" s="5">
        <f t="shared" si="24"/>
        <v>8.4699440000000017</v>
      </c>
      <c r="T53" s="21">
        <f t="shared" si="25"/>
        <v>10.587430000000001</v>
      </c>
      <c r="U53" s="21">
        <f t="shared" si="12"/>
        <v>1.3070901234567904</v>
      </c>
      <c r="V53" s="20">
        <f t="shared" si="13"/>
        <v>5.6248775385026638E-3</v>
      </c>
      <c r="W53" s="20">
        <f t="shared" si="14"/>
        <v>5.8333333333333327E-3</v>
      </c>
      <c r="X53" s="20">
        <f t="shared" si="15"/>
        <v>4.0318080357142856E-2</v>
      </c>
      <c r="Y53" s="22">
        <f t="shared" si="26"/>
        <v>5.8333333333333327E-3</v>
      </c>
      <c r="Z53" s="4">
        <f t="shared" si="16"/>
        <v>525</v>
      </c>
      <c r="AA53" s="4">
        <f t="shared" si="17"/>
        <v>149.52380952380952</v>
      </c>
      <c r="AB53" s="4">
        <f>125</f>
        <v>125</v>
      </c>
      <c r="AC53" s="4">
        <v>200</v>
      </c>
      <c r="AD53" s="4">
        <f t="shared" si="18"/>
        <v>628</v>
      </c>
    </row>
    <row r="54" spans="1:30" x14ac:dyDescent="0.25">
      <c r="A54" t="s">
        <v>110</v>
      </c>
      <c r="C54" s="4" t="s">
        <v>111</v>
      </c>
      <c r="D54" s="195" t="s">
        <v>112</v>
      </c>
      <c r="E54" s="207"/>
      <c r="F54" s="196"/>
      <c r="G54" t="s">
        <v>109</v>
      </c>
      <c r="I54" s="5" t="s">
        <v>163</v>
      </c>
      <c r="J54" s="4">
        <f t="shared" si="19"/>
        <v>120</v>
      </c>
      <c r="K54" s="4">
        <f t="shared" si="20"/>
        <v>10</v>
      </c>
      <c r="L54" s="4">
        <f t="shared" si="21"/>
        <v>25</v>
      </c>
      <c r="M54" s="4">
        <f t="shared" si="22"/>
        <v>0.85</v>
      </c>
      <c r="N54" s="21">
        <f t="shared" si="23"/>
        <v>5.3757440476190473E-2</v>
      </c>
      <c r="O54" s="4">
        <v>0.8</v>
      </c>
      <c r="P54" s="4">
        <f t="shared" si="10"/>
        <v>30</v>
      </c>
      <c r="Q54" s="4">
        <f t="shared" si="11"/>
        <v>90</v>
      </c>
      <c r="R54" s="4">
        <v>1000</v>
      </c>
      <c r="S54" s="5">
        <f t="shared" si="24"/>
        <v>8.4699440000000017</v>
      </c>
      <c r="T54" s="21">
        <f t="shared" si="25"/>
        <v>10.587430000000001</v>
      </c>
      <c r="U54" s="21">
        <f t="shared" si="12"/>
        <v>1.3070901234567904</v>
      </c>
      <c r="V54" s="20">
        <f t="shared" si="13"/>
        <v>5.6248775385026638E-3</v>
      </c>
      <c r="W54" s="20">
        <f t="shared" si="14"/>
        <v>5.8333333333333327E-3</v>
      </c>
      <c r="X54" s="20">
        <f t="shared" si="15"/>
        <v>4.0318080357142856E-2</v>
      </c>
      <c r="Y54" s="22">
        <f t="shared" si="26"/>
        <v>5.8333333333333327E-3</v>
      </c>
      <c r="Z54" s="4">
        <f t="shared" si="16"/>
        <v>525</v>
      </c>
      <c r="AA54" s="4">
        <f t="shared" si="17"/>
        <v>149.52380952380952</v>
      </c>
      <c r="AB54" s="4">
        <f>125</f>
        <v>125</v>
      </c>
      <c r="AC54" s="4">
        <v>200</v>
      </c>
      <c r="AD54" s="4">
        <f t="shared" si="18"/>
        <v>628</v>
      </c>
    </row>
    <row r="55" spans="1:30" x14ac:dyDescent="0.25">
      <c r="A55" t="s">
        <v>113</v>
      </c>
      <c r="C55" s="4" t="s">
        <v>114</v>
      </c>
      <c r="D55" s="195">
        <v>1000</v>
      </c>
      <c r="E55" s="207"/>
      <c r="F55" s="196"/>
      <c r="G55" t="s">
        <v>109</v>
      </c>
      <c r="I55" s="5" t="s">
        <v>164</v>
      </c>
      <c r="J55" s="4">
        <f t="shared" si="19"/>
        <v>120</v>
      </c>
      <c r="K55" s="4">
        <f t="shared" si="20"/>
        <v>10</v>
      </c>
      <c r="L55" s="4">
        <f t="shared" si="21"/>
        <v>25</v>
      </c>
      <c r="M55" s="4">
        <f t="shared" si="22"/>
        <v>0.85</v>
      </c>
      <c r="N55" s="21">
        <f t="shared" si="23"/>
        <v>5.3757440476190473E-2</v>
      </c>
      <c r="O55" s="4">
        <v>0.8</v>
      </c>
      <c r="P55" s="4">
        <f t="shared" si="10"/>
        <v>30</v>
      </c>
      <c r="Q55" s="4">
        <f t="shared" si="11"/>
        <v>90</v>
      </c>
      <c r="R55" s="4">
        <v>1000</v>
      </c>
      <c r="S55" s="5">
        <f t="shared" si="24"/>
        <v>8.4699440000000017</v>
      </c>
      <c r="T55" s="21">
        <f t="shared" si="25"/>
        <v>10.587430000000001</v>
      </c>
      <c r="U55" s="21">
        <f t="shared" si="12"/>
        <v>1.3070901234567904</v>
      </c>
      <c r="V55" s="20">
        <f t="shared" si="13"/>
        <v>5.6248775385026638E-3</v>
      </c>
      <c r="W55" s="20">
        <f t="shared" si="14"/>
        <v>5.8333333333333327E-3</v>
      </c>
      <c r="X55" s="20">
        <f t="shared" si="15"/>
        <v>4.0318080357142856E-2</v>
      </c>
      <c r="Y55" s="22">
        <f t="shared" si="26"/>
        <v>5.8333333333333327E-3</v>
      </c>
      <c r="Z55" s="4">
        <f t="shared" si="16"/>
        <v>525</v>
      </c>
      <c r="AA55" s="4">
        <f t="shared" si="17"/>
        <v>149.52380952380952</v>
      </c>
      <c r="AB55" s="4">
        <f>125</f>
        <v>125</v>
      </c>
      <c r="AC55" s="4">
        <v>200</v>
      </c>
      <c r="AD55" s="4">
        <f t="shared" si="18"/>
        <v>628</v>
      </c>
    </row>
    <row r="56" spans="1:30" x14ac:dyDescent="0.25">
      <c r="A56" t="s">
        <v>170</v>
      </c>
      <c r="C56" s="16" t="s">
        <v>171</v>
      </c>
      <c r="D56" s="208">
        <v>25</v>
      </c>
      <c r="E56" s="198"/>
      <c r="F56" s="199"/>
      <c r="G56" t="s">
        <v>109</v>
      </c>
    </row>
    <row r="57" spans="1:30" x14ac:dyDescent="0.25">
      <c r="A57" t="s">
        <v>166</v>
      </c>
      <c r="C57" s="4" t="s">
        <v>165</v>
      </c>
      <c r="D57" s="197">
        <f>V39</f>
        <v>8.4699440000000017</v>
      </c>
      <c r="E57" s="198"/>
      <c r="F57" s="199"/>
    </row>
    <row r="58" spans="1:30" x14ac:dyDescent="0.25">
      <c r="A58" t="s">
        <v>115</v>
      </c>
      <c r="C58" s="4" t="s">
        <v>116</v>
      </c>
      <c r="D58" s="195" t="s">
        <v>117</v>
      </c>
      <c r="E58" s="207"/>
      <c r="F58" s="196"/>
      <c r="G58" t="s">
        <v>118</v>
      </c>
    </row>
    <row r="59" spans="1:30" x14ac:dyDescent="0.25">
      <c r="A59" t="s">
        <v>119</v>
      </c>
      <c r="C59" s="4" t="s">
        <v>120</v>
      </c>
      <c r="D59" s="195" t="s">
        <v>121</v>
      </c>
      <c r="E59" s="207"/>
      <c r="F59" s="196"/>
    </row>
    <row r="60" spans="1:30" x14ac:dyDescent="0.25">
      <c r="A60" t="s">
        <v>122</v>
      </c>
      <c r="C60" s="4" t="s">
        <v>91</v>
      </c>
      <c r="D60" s="195" t="s">
        <v>145</v>
      </c>
      <c r="E60" s="207"/>
      <c r="F60" s="196"/>
    </row>
    <row r="61" spans="1:30" x14ac:dyDescent="0.25">
      <c r="A61" t="s">
        <v>123</v>
      </c>
      <c r="C61" s="4" t="s">
        <v>92</v>
      </c>
      <c r="D61" s="195" t="s">
        <v>124</v>
      </c>
      <c r="E61" s="207"/>
      <c r="F61" s="196"/>
    </row>
    <row r="62" spans="1:30" x14ac:dyDescent="0.25">
      <c r="A62" t="s">
        <v>125</v>
      </c>
      <c r="C62" s="4" t="s">
        <v>91</v>
      </c>
      <c r="D62" s="195" t="s">
        <v>124</v>
      </c>
      <c r="E62" s="207"/>
      <c r="F62" s="196"/>
    </row>
    <row r="63" spans="1:30" x14ac:dyDescent="0.25">
      <c r="A63" t="s">
        <v>126</v>
      </c>
      <c r="C63" s="4" t="s">
        <v>127</v>
      </c>
      <c r="D63" s="195" t="s">
        <v>124</v>
      </c>
      <c r="E63" s="207"/>
      <c r="F63" s="196"/>
      <c r="G63" t="s">
        <v>129</v>
      </c>
    </row>
    <row r="64" spans="1:30" x14ac:dyDescent="0.25">
      <c r="A64" t="s">
        <v>130</v>
      </c>
      <c r="C64" s="4" t="s">
        <v>131</v>
      </c>
      <c r="D64" s="195" t="s">
        <v>132</v>
      </c>
      <c r="E64" s="207"/>
      <c r="F64" s="196"/>
      <c r="G64" t="s">
        <v>109</v>
      </c>
    </row>
    <row r="65" spans="1:7" x14ac:dyDescent="0.25">
      <c r="A65" t="s">
        <v>133</v>
      </c>
      <c r="C65" s="4" t="s">
        <v>134</v>
      </c>
      <c r="D65" s="195" t="s">
        <v>135</v>
      </c>
      <c r="E65" s="207"/>
      <c r="F65" s="196"/>
      <c r="G65" t="s">
        <v>109</v>
      </c>
    </row>
    <row r="66" spans="1:7" x14ac:dyDescent="0.25">
      <c r="A66" t="s">
        <v>133</v>
      </c>
      <c r="C66" s="4" t="s">
        <v>134</v>
      </c>
      <c r="D66" s="195" t="s">
        <v>124</v>
      </c>
      <c r="E66" s="207"/>
      <c r="F66" s="196"/>
      <c r="G66" t="s">
        <v>109</v>
      </c>
    </row>
    <row r="67" spans="1:7" x14ac:dyDescent="0.25">
      <c r="A67" t="s">
        <v>136</v>
      </c>
      <c r="C67" s="4" t="s">
        <v>131</v>
      </c>
      <c r="D67" s="195" t="s">
        <v>124</v>
      </c>
      <c r="E67" s="207"/>
      <c r="F67" s="196"/>
      <c r="G67" t="s">
        <v>109</v>
      </c>
    </row>
    <row r="68" spans="1:7" x14ac:dyDescent="0.25">
      <c r="A68" t="s">
        <v>137</v>
      </c>
      <c r="C68" s="4" t="s">
        <v>131</v>
      </c>
      <c r="D68" s="195" t="s">
        <v>124</v>
      </c>
      <c r="E68" s="207"/>
      <c r="F68" s="196"/>
      <c r="G68" t="s">
        <v>109</v>
      </c>
    </row>
    <row r="69" spans="1:7" x14ac:dyDescent="0.25">
      <c r="A69" t="s">
        <v>138</v>
      </c>
      <c r="C69" s="13" t="s">
        <v>83</v>
      </c>
      <c r="D69" s="14">
        <f>D49</f>
        <v>10</v>
      </c>
      <c r="E69" s="14" t="s">
        <v>169</v>
      </c>
      <c r="F69" s="15">
        <f>AB50</f>
        <v>125</v>
      </c>
    </row>
    <row r="70" spans="1:7" x14ac:dyDescent="0.25">
      <c r="A70" t="s">
        <v>139</v>
      </c>
      <c r="C70" s="4" t="s">
        <v>140</v>
      </c>
      <c r="D70" s="195" t="s">
        <v>141</v>
      </c>
      <c r="E70" s="207"/>
      <c r="F70" s="196"/>
      <c r="G70" t="s">
        <v>129</v>
      </c>
    </row>
    <row r="76" spans="1:7" x14ac:dyDescent="0.25">
      <c r="F76" t="s">
        <v>168</v>
      </c>
    </row>
  </sheetData>
  <mergeCells count="43">
    <mergeCell ref="W48:W49"/>
    <mergeCell ref="X48:X49"/>
    <mergeCell ref="Y48:Y49"/>
    <mergeCell ref="D68:F68"/>
    <mergeCell ref="D70:F70"/>
    <mergeCell ref="D49:F49"/>
    <mergeCell ref="I48:I49"/>
    <mergeCell ref="D56:F56"/>
    <mergeCell ref="M48:M49"/>
    <mergeCell ref="N48:N49"/>
    <mergeCell ref="O48:O49"/>
    <mergeCell ref="D63:F63"/>
    <mergeCell ref="D64:F64"/>
    <mergeCell ref="D65:F65"/>
    <mergeCell ref="D66:F66"/>
    <mergeCell ref="D67:F67"/>
    <mergeCell ref="D58:F58"/>
    <mergeCell ref="D59:F59"/>
    <mergeCell ref="D60:F60"/>
    <mergeCell ref="D61:F61"/>
    <mergeCell ref="D62:F62"/>
    <mergeCell ref="D57:F57"/>
    <mergeCell ref="V37:W37"/>
    <mergeCell ref="V38:W38"/>
    <mergeCell ref="V39:W44"/>
    <mergeCell ref="D50:F50"/>
    <mergeCell ref="D51:F51"/>
    <mergeCell ref="D52:F52"/>
    <mergeCell ref="D53:F53"/>
    <mergeCell ref="D54:F54"/>
    <mergeCell ref="D55:F55"/>
    <mergeCell ref="O37:O38"/>
    <mergeCell ref="P37:P38"/>
    <mergeCell ref="Q37:Q38"/>
    <mergeCell ref="R37:R38"/>
    <mergeCell ref="S37:S38"/>
    <mergeCell ref="T37:T38"/>
    <mergeCell ref="N37:N38"/>
    <mergeCell ref="I6:I7"/>
    <mergeCell ref="C25:D25"/>
    <mergeCell ref="A25:B25"/>
    <mergeCell ref="I37:I38"/>
    <mergeCell ref="M37:M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tabSelected="1" topLeftCell="X88" zoomScale="70" zoomScaleNormal="70" workbookViewId="0">
      <selection activeCell="AV52" sqref="AV52"/>
    </sheetView>
  </sheetViews>
  <sheetFormatPr defaultRowHeight="15" x14ac:dyDescent="0.25"/>
  <cols>
    <col min="1" max="1" width="17.7109375" customWidth="1"/>
    <col min="2" max="2" width="3.42578125" customWidth="1"/>
    <col min="6" max="7" width="10.85546875" customWidth="1"/>
    <col min="8" max="8" width="10.85546875" style="27" customWidth="1"/>
    <col min="9" max="11" width="10.85546875" customWidth="1"/>
    <col min="16" max="16" width="9.140625" style="3"/>
    <col min="17" max="17" width="12.28515625" customWidth="1"/>
    <col min="26" max="26" width="13" customWidth="1"/>
    <col min="28" max="28" width="11.28515625" customWidth="1"/>
    <col min="30" max="30" width="11.7109375" customWidth="1"/>
    <col min="32" max="32" width="12.140625" customWidth="1"/>
    <col min="45" max="45" width="15.140625" customWidth="1"/>
    <col min="46" max="46" width="18.140625" customWidth="1"/>
    <col min="47" max="47" width="16.7109375" customWidth="1"/>
    <col min="48" max="48" width="20" customWidth="1"/>
    <col min="49" max="49" width="11.5703125" customWidth="1"/>
  </cols>
  <sheetData>
    <row r="1" spans="1:30" x14ac:dyDescent="0.25">
      <c r="A1" t="s">
        <v>147</v>
      </c>
    </row>
    <row r="3" spans="1:30" x14ac:dyDescent="0.25">
      <c r="A3" t="s">
        <v>148</v>
      </c>
      <c r="B3" t="s">
        <v>160</v>
      </c>
      <c r="F3" s="7" t="s">
        <v>149</v>
      </c>
      <c r="G3" s="7" t="s">
        <v>11</v>
      </c>
      <c r="H3" s="42" t="s">
        <v>150</v>
      </c>
      <c r="I3" s="7" t="s">
        <v>151</v>
      </c>
      <c r="J3" s="23" t="s">
        <v>152</v>
      </c>
      <c r="K3" s="23" t="s">
        <v>152</v>
      </c>
    </row>
    <row r="4" spans="1:30" x14ac:dyDescent="0.25">
      <c r="B4" s="1"/>
      <c r="C4" s="1"/>
      <c r="F4" s="7" t="s">
        <v>153</v>
      </c>
      <c r="G4" s="7" t="s">
        <v>17</v>
      </c>
      <c r="H4" s="42" t="s">
        <v>17</v>
      </c>
      <c r="I4" s="7" t="s">
        <v>154</v>
      </c>
      <c r="J4" s="7" t="s">
        <v>155</v>
      </c>
      <c r="K4" s="7" t="s">
        <v>155</v>
      </c>
    </row>
    <row r="5" spans="1:30" x14ac:dyDescent="0.25">
      <c r="F5" s="4" t="s">
        <v>161</v>
      </c>
      <c r="G5" s="5">
        <v>1.5</v>
      </c>
      <c r="H5" s="5">
        <v>3</v>
      </c>
      <c r="I5" s="5">
        <f>B$9</f>
        <v>8.4320000000000004</v>
      </c>
      <c r="J5" s="5">
        <f>0.25*I5*H5</f>
        <v>6.3239999999999998</v>
      </c>
      <c r="K5" s="5">
        <f>(0.5*((G5/H5)-0.5)*I5*H5*H5)/G5</f>
        <v>0</v>
      </c>
    </row>
    <row r="6" spans="1:30" x14ac:dyDescent="0.25">
      <c r="A6" t="s">
        <v>148</v>
      </c>
      <c r="B6" t="s">
        <v>159</v>
      </c>
      <c r="F6" s="4" t="s">
        <v>114</v>
      </c>
      <c r="G6" s="5">
        <v>3.5</v>
      </c>
      <c r="H6" s="5">
        <v>3</v>
      </c>
      <c r="I6" s="5">
        <f t="shared" ref="I6:I10" si="0">B$9</f>
        <v>8.4320000000000004</v>
      </c>
      <c r="J6" s="5">
        <f t="shared" ref="J6:J10" si="1">0.25*I6*H6</f>
        <v>6.3239999999999998</v>
      </c>
      <c r="K6" s="5">
        <f t="shared" ref="K6:K10" si="2">(0.5*((G6/H6)-0.5)*I6*H6*H6)/G6</f>
        <v>7.2274285714285735</v>
      </c>
    </row>
    <row r="7" spans="1:30" x14ac:dyDescent="0.25">
      <c r="B7" s="217" t="s">
        <v>11</v>
      </c>
      <c r="C7" s="217"/>
      <c r="D7" s="217"/>
      <c r="F7" s="4" t="s">
        <v>162</v>
      </c>
      <c r="G7" s="5">
        <v>3.5</v>
      </c>
      <c r="H7" s="5">
        <v>3.5</v>
      </c>
      <c r="I7" s="5">
        <f t="shared" si="0"/>
        <v>8.4320000000000004</v>
      </c>
      <c r="J7" s="5">
        <f t="shared" si="1"/>
        <v>7.3780000000000001</v>
      </c>
      <c r="K7" s="5" t="s">
        <v>169</v>
      </c>
    </row>
    <row r="8" spans="1:30" x14ac:dyDescent="0.25">
      <c r="F8" s="4" t="s">
        <v>111</v>
      </c>
      <c r="G8" s="5">
        <v>4</v>
      </c>
      <c r="H8" s="5">
        <v>1.7250000000000001</v>
      </c>
      <c r="I8" s="5">
        <f t="shared" si="0"/>
        <v>8.4320000000000004</v>
      </c>
      <c r="J8" s="5">
        <f t="shared" si="1"/>
        <v>3.6363000000000003</v>
      </c>
      <c r="K8" s="5">
        <f t="shared" si="2"/>
        <v>5.7044456250000009</v>
      </c>
    </row>
    <row r="9" spans="1:30" x14ac:dyDescent="0.25">
      <c r="A9" t="s">
        <v>156</v>
      </c>
      <c r="B9">
        <f>PLAT!C34</f>
        <v>8.4320000000000004</v>
      </c>
      <c r="C9" t="s">
        <v>157</v>
      </c>
      <c r="F9" s="4" t="s">
        <v>163</v>
      </c>
      <c r="G9" s="5">
        <v>2</v>
      </c>
      <c r="H9" s="5">
        <v>3.5</v>
      </c>
      <c r="I9" s="5">
        <f t="shared" si="0"/>
        <v>8.4320000000000004</v>
      </c>
      <c r="J9" s="5">
        <f t="shared" si="1"/>
        <v>7.3780000000000001</v>
      </c>
      <c r="K9" s="5">
        <f t="shared" si="2"/>
        <v>1.8444999999999994</v>
      </c>
    </row>
    <row r="10" spans="1:30" x14ac:dyDescent="0.25">
      <c r="A10" t="s">
        <v>158</v>
      </c>
      <c r="F10" s="4" t="s">
        <v>164</v>
      </c>
      <c r="G10" s="5">
        <v>2.5</v>
      </c>
      <c r="H10" s="5">
        <v>2</v>
      </c>
      <c r="I10" s="5">
        <f t="shared" si="0"/>
        <v>8.4320000000000004</v>
      </c>
      <c r="J10" s="5">
        <f t="shared" si="1"/>
        <v>4.2160000000000002</v>
      </c>
      <c r="K10" s="5">
        <f t="shared" si="2"/>
        <v>5.0591999999999997</v>
      </c>
    </row>
    <row r="15" spans="1:30" x14ac:dyDescent="0.25">
      <c r="A15" t="s">
        <v>174</v>
      </c>
      <c r="X15" s="61" t="s">
        <v>228</v>
      </c>
      <c r="Y15" s="61"/>
      <c r="Z15" s="61"/>
      <c r="AA15" s="61"/>
      <c r="AB15" s="61"/>
      <c r="AC15" s="61"/>
      <c r="AD15" s="61"/>
    </row>
    <row r="17" spans="1:57" ht="15" customHeight="1" x14ac:dyDescent="0.25">
      <c r="A17" s="8" t="s">
        <v>175</v>
      </c>
      <c r="B17" s="4" t="s">
        <v>176</v>
      </c>
      <c r="C17" s="4">
        <f>PLAT!J3</f>
        <v>240</v>
      </c>
      <c r="D17" t="s">
        <v>3</v>
      </c>
      <c r="F17" s="214" t="s">
        <v>177</v>
      </c>
      <c r="G17" s="215"/>
      <c r="H17" s="216"/>
      <c r="I17" s="7" t="s">
        <v>178</v>
      </c>
      <c r="J17" s="7" t="s">
        <v>179</v>
      </c>
      <c r="K17" s="7" t="s">
        <v>180</v>
      </c>
      <c r="L17" s="7" t="s">
        <v>114</v>
      </c>
      <c r="M17" s="7" t="s">
        <v>181</v>
      </c>
      <c r="N17" s="7" t="s">
        <v>182</v>
      </c>
      <c r="O17" s="7" t="s">
        <v>183</v>
      </c>
      <c r="P17" s="7" t="s">
        <v>184</v>
      </c>
      <c r="Q17" s="7" t="s">
        <v>185</v>
      </c>
      <c r="R17" s="7" t="s">
        <v>186</v>
      </c>
      <c r="S17" s="7" t="s">
        <v>187</v>
      </c>
      <c r="T17" s="7" t="s">
        <v>188</v>
      </c>
      <c r="U17" s="7" t="s">
        <v>189</v>
      </c>
      <c r="V17" s="7" t="s">
        <v>190</v>
      </c>
      <c r="X17" s="222" t="s">
        <v>177</v>
      </c>
      <c r="Y17" s="223"/>
      <c r="Z17" s="224"/>
      <c r="AA17" s="76" t="s">
        <v>178</v>
      </c>
      <c r="AB17" s="76" t="s">
        <v>180</v>
      </c>
      <c r="AC17" s="76" t="s">
        <v>114</v>
      </c>
      <c r="AD17" s="76" t="s">
        <v>182</v>
      </c>
      <c r="AE17" s="76" t="s">
        <v>183</v>
      </c>
      <c r="AF17" s="89" t="s">
        <v>185</v>
      </c>
      <c r="AG17" s="222" t="s">
        <v>152</v>
      </c>
      <c r="AH17" s="223"/>
      <c r="AI17" s="222" t="s">
        <v>152</v>
      </c>
      <c r="AJ17" s="224"/>
      <c r="AK17" s="76" t="s">
        <v>236</v>
      </c>
      <c r="AL17" s="104" t="s">
        <v>238</v>
      </c>
      <c r="AM17" s="76" t="s">
        <v>239</v>
      </c>
      <c r="AN17" s="104" t="s">
        <v>240</v>
      </c>
      <c r="AO17" s="76" t="s">
        <v>241</v>
      </c>
      <c r="AP17" s="76" t="s">
        <v>242</v>
      </c>
      <c r="AQ17" s="76" t="s">
        <v>243</v>
      </c>
      <c r="AR17" s="76" t="s">
        <v>244</v>
      </c>
      <c r="AS17" s="89" t="s">
        <v>245</v>
      </c>
      <c r="AT17" s="89" t="s">
        <v>246</v>
      </c>
      <c r="AU17" s="89" t="s">
        <v>247</v>
      </c>
      <c r="AV17" s="89" t="s">
        <v>248</v>
      </c>
      <c r="AW17" s="236" t="s">
        <v>249</v>
      </c>
      <c r="AX17" s="89" t="s">
        <v>188</v>
      </c>
      <c r="AY17" s="111" t="s">
        <v>189</v>
      </c>
    </row>
    <row r="18" spans="1:57" x14ac:dyDescent="0.25">
      <c r="A18" s="8" t="s">
        <v>191</v>
      </c>
      <c r="B18" s="4" t="s">
        <v>176</v>
      </c>
      <c r="C18" s="4">
        <f>PLAT!P$50</f>
        <v>30</v>
      </c>
      <c r="D18" t="s">
        <v>109</v>
      </c>
      <c r="F18" s="214" t="s">
        <v>17</v>
      </c>
      <c r="G18" s="215"/>
      <c r="H18" s="216"/>
      <c r="I18" s="7" t="s">
        <v>17</v>
      </c>
      <c r="J18" s="7" t="s">
        <v>17</v>
      </c>
      <c r="K18" s="7" t="s">
        <v>17</v>
      </c>
      <c r="L18" s="7" t="s">
        <v>17</v>
      </c>
      <c r="M18" s="7" t="s">
        <v>17</v>
      </c>
      <c r="N18" s="7" t="s">
        <v>17</v>
      </c>
      <c r="O18" s="7" t="s">
        <v>192</v>
      </c>
      <c r="P18" s="7" t="s">
        <v>155</v>
      </c>
      <c r="Q18" s="7" t="s">
        <v>155</v>
      </c>
      <c r="R18" s="7" t="s">
        <v>155</v>
      </c>
      <c r="S18" s="7" t="s">
        <v>193</v>
      </c>
      <c r="T18" s="7" t="s">
        <v>194</v>
      </c>
      <c r="U18" s="7" t="s">
        <v>194</v>
      </c>
      <c r="V18" s="7"/>
      <c r="X18" s="225" t="s">
        <v>17</v>
      </c>
      <c r="Y18" s="226"/>
      <c r="Z18" s="227"/>
      <c r="AA18" s="77" t="s">
        <v>17</v>
      </c>
      <c r="AB18" s="77" t="s">
        <v>17</v>
      </c>
      <c r="AC18" s="77" t="s">
        <v>17</v>
      </c>
      <c r="AD18" s="77" t="s">
        <v>17</v>
      </c>
      <c r="AE18" s="84" t="s">
        <v>192</v>
      </c>
      <c r="AF18" s="90" t="s">
        <v>155</v>
      </c>
      <c r="AG18" s="225" t="s">
        <v>155</v>
      </c>
      <c r="AH18" s="226"/>
      <c r="AI18" s="228" t="s">
        <v>155</v>
      </c>
      <c r="AJ18" s="229"/>
      <c r="AK18" s="84" t="s">
        <v>17</v>
      </c>
      <c r="AL18" s="105" t="s">
        <v>17</v>
      </c>
      <c r="AM18" s="84" t="s">
        <v>17</v>
      </c>
      <c r="AN18" s="105" t="s">
        <v>155</v>
      </c>
      <c r="AO18" s="84" t="s">
        <v>155</v>
      </c>
      <c r="AP18" s="84" t="s">
        <v>155</v>
      </c>
      <c r="AQ18" s="84" t="s">
        <v>155</v>
      </c>
      <c r="AR18" s="84" t="s">
        <v>194</v>
      </c>
      <c r="AS18" s="108" t="s">
        <v>193</v>
      </c>
      <c r="AT18" s="108" t="s">
        <v>193</v>
      </c>
      <c r="AU18" s="108" t="s">
        <v>193</v>
      </c>
      <c r="AV18" s="108" t="s">
        <v>193</v>
      </c>
      <c r="AW18" s="237"/>
      <c r="AX18" s="108" t="s">
        <v>250</v>
      </c>
      <c r="AY18" s="112" t="s">
        <v>250</v>
      </c>
    </row>
    <row r="19" spans="1:57" ht="15" customHeight="1" x14ac:dyDescent="0.25">
      <c r="A19" s="8" t="s">
        <v>195</v>
      </c>
      <c r="B19" s="4" t="s">
        <v>176</v>
      </c>
      <c r="C19" s="4">
        <v>24</v>
      </c>
      <c r="D19" t="s">
        <v>196</v>
      </c>
      <c r="F19" s="209" t="s">
        <v>20</v>
      </c>
      <c r="G19" s="29" t="s">
        <v>206</v>
      </c>
      <c r="H19" s="47"/>
      <c r="I19" s="49"/>
      <c r="J19" s="29"/>
      <c r="K19" s="29"/>
      <c r="L19" s="29"/>
      <c r="M19" s="29"/>
      <c r="N19" s="29"/>
      <c r="O19" s="29"/>
      <c r="P19" s="29" t="s">
        <v>207</v>
      </c>
      <c r="Q19" s="29"/>
      <c r="R19" s="29"/>
      <c r="S19" s="29"/>
      <c r="T19" s="29"/>
      <c r="U19" s="29"/>
      <c r="V19" s="32"/>
      <c r="X19" s="230" t="s">
        <v>212</v>
      </c>
      <c r="Y19" s="133" t="str">
        <f>G31</f>
        <v>(4-7)</v>
      </c>
      <c r="Z19" s="134"/>
      <c r="AA19" s="115"/>
      <c r="AB19" s="115"/>
      <c r="AC19" s="115"/>
      <c r="AD19" s="116"/>
      <c r="AE19" s="117"/>
      <c r="AF19" s="118"/>
      <c r="AG19" s="119" t="s">
        <v>251</v>
      </c>
      <c r="AH19" s="96" t="s">
        <v>251</v>
      </c>
      <c r="AI19" s="120" t="s">
        <v>252</v>
      </c>
      <c r="AJ19" s="121"/>
      <c r="AK19" s="54"/>
      <c r="AL19" s="122"/>
      <c r="AM19" s="123"/>
      <c r="AN19" s="124"/>
      <c r="AO19" s="124"/>
      <c r="AP19" s="124"/>
      <c r="AQ19" s="124"/>
      <c r="AR19" s="125"/>
      <c r="AS19" s="126"/>
      <c r="AT19" s="126"/>
      <c r="AU19" s="126"/>
      <c r="AV19" s="126"/>
      <c r="AW19" s="237"/>
      <c r="AX19" s="117"/>
      <c r="AY19" s="135"/>
    </row>
    <row r="20" spans="1:57" x14ac:dyDescent="0.25">
      <c r="A20" s="8" t="s">
        <v>197</v>
      </c>
      <c r="B20" s="4" t="s">
        <v>176</v>
      </c>
      <c r="C20" s="4">
        <f>PLAT!J2</f>
        <v>25</v>
      </c>
      <c r="D20" t="s">
        <v>3</v>
      </c>
      <c r="F20" s="211"/>
      <c r="G20" s="28" t="s">
        <v>198</v>
      </c>
      <c r="H20" s="48">
        <v>1.5</v>
      </c>
      <c r="I20" s="50">
        <v>0.2</v>
      </c>
      <c r="J20" s="28">
        <v>0.2</v>
      </c>
      <c r="K20" s="28">
        <f>MAX(I20:J20)</f>
        <v>0.2</v>
      </c>
      <c r="L20" s="28">
        <f>K20/2</f>
        <v>0.1</v>
      </c>
      <c r="M20" s="28">
        <f>0.15</f>
        <v>0.15</v>
      </c>
      <c r="N20" s="28">
        <f>MAX(L20:M20)</f>
        <v>0.15</v>
      </c>
      <c r="O20" s="28">
        <f>1.2*C$19*K20*N$20</f>
        <v>0.86399999999999999</v>
      </c>
      <c r="P20" s="34">
        <f>J5</f>
        <v>6.3239999999999998</v>
      </c>
      <c r="Q20" s="28">
        <f>1.2*C$22*C$23*C$21</f>
        <v>10.71</v>
      </c>
      <c r="R20" s="30">
        <f>SUM(O20:Q20)</f>
        <v>17.898</v>
      </c>
      <c r="S20" s="30">
        <f>1/12*R20*(H20)^2</f>
        <v>3.3558749999999997</v>
      </c>
      <c r="T20" s="30">
        <f>1/2*R20*H20</f>
        <v>13.423500000000001</v>
      </c>
      <c r="U20" s="30">
        <f>1/2*R20*H20</f>
        <v>13.423500000000001</v>
      </c>
      <c r="V20" s="31"/>
      <c r="X20" s="231"/>
      <c r="Y20" s="147" t="str">
        <f>G32</f>
        <v>L:</v>
      </c>
      <c r="Z20" s="130">
        <f>H32</f>
        <v>4</v>
      </c>
      <c r="AA20" s="149">
        <f>I32</f>
        <v>0.35</v>
      </c>
      <c r="AB20" s="149">
        <f>K32</f>
        <v>0.35</v>
      </c>
      <c r="AC20" s="149">
        <f>L32</f>
        <v>0.2</v>
      </c>
      <c r="AD20" s="148">
        <f>N32</f>
        <v>0.2</v>
      </c>
      <c r="AE20" s="148">
        <f>1.2*AB20*AD20*C$19</f>
        <v>2.016</v>
      </c>
      <c r="AF20" s="149">
        <f>1.2*C$21*C$22*C$23</f>
        <v>10.71</v>
      </c>
      <c r="AG20" s="150">
        <f>J9</f>
        <v>7.3780000000000001</v>
      </c>
      <c r="AH20" s="151">
        <f>J9</f>
        <v>7.3780000000000001</v>
      </c>
      <c r="AI20" s="232">
        <f>K8</f>
        <v>5.7044456250000009</v>
      </c>
      <c r="AJ20" s="233"/>
      <c r="AK20" s="36">
        <v>2</v>
      </c>
      <c r="AL20" s="130">
        <v>2</v>
      </c>
      <c r="AM20" s="36">
        <f>SUM(AK20:AL20)</f>
        <v>4</v>
      </c>
      <c r="AN20" s="150">
        <f>AE20+AF20+AG20+AI20</f>
        <v>25.808445625000001</v>
      </c>
      <c r="AO20" s="150">
        <f>AN20*AK20</f>
        <v>51.616891250000002</v>
      </c>
      <c r="AP20" s="150">
        <f>AE20+AF20+AH20+AI20</f>
        <v>25.808445625000001</v>
      </c>
      <c r="AQ20" s="150">
        <f>AP20*AL20</f>
        <v>51.616891250000002</v>
      </c>
      <c r="AR20" s="149">
        <f>T58</f>
        <v>8.3457499999999971</v>
      </c>
      <c r="AS20" s="148">
        <f>((AN20*AM20^2)/12)+(AR20*AM20/8)</f>
        <v>38.584135833333335</v>
      </c>
      <c r="AT20" s="148">
        <f>((AN20*AM20^2)/12)+(AR20*AM20/8)</f>
        <v>38.584135833333335</v>
      </c>
      <c r="AU20" s="152">
        <f>(AN20*AM20*AM20/24)+(AR20*AM20/4)</f>
        <v>25.551380416666667</v>
      </c>
      <c r="AV20" s="148">
        <f>MAX(AS20:AU20)</f>
        <v>38.584135833333335</v>
      </c>
      <c r="AW20" s="237"/>
      <c r="AX20" s="127">
        <f>AF30</f>
        <v>55.78976625</v>
      </c>
      <c r="AY20" s="132">
        <f>AM30</f>
        <v>55.78976625</v>
      </c>
    </row>
    <row r="21" spans="1:57" ht="15" customHeight="1" x14ac:dyDescent="0.25">
      <c r="A21" s="8" t="s">
        <v>203</v>
      </c>
      <c r="B21" s="4" t="s">
        <v>176</v>
      </c>
      <c r="C21" s="4">
        <v>0.15</v>
      </c>
      <c r="D21" t="s">
        <v>128</v>
      </c>
      <c r="F21" s="211"/>
      <c r="G21" s="33" t="s">
        <v>201</v>
      </c>
      <c r="H21" s="47"/>
      <c r="I21" s="51"/>
      <c r="J21" s="33"/>
      <c r="K21" s="33"/>
      <c r="L21" s="33"/>
      <c r="M21" s="33"/>
      <c r="N21" s="33"/>
      <c r="O21" s="33"/>
      <c r="P21" s="29" t="s">
        <v>208</v>
      </c>
      <c r="Q21" s="33"/>
      <c r="R21" s="44"/>
      <c r="S21" s="44"/>
      <c r="T21" s="44"/>
      <c r="U21" s="44"/>
      <c r="V21" s="32"/>
      <c r="X21" s="230" t="s">
        <v>216</v>
      </c>
      <c r="Y21" s="133" t="str">
        <f>G37</f>
        <v>(4-7)</v>
      </c>
      <c r="Z21" s="134"/>
      <c r="AA21" s="115"/>
      <c r="AB21" s="115"/>
      <c r="AC21" s="115"/>
      <c r="AD21" s="116"/>
      <c r="AE21" s="117"/>
      <c r="AF21" s="118"/>
      <c r="AG21" s="119" t="s">
        <v>251</v>
      </c>
      <c r="AH21" s="96" t="s">
        <v>251</v>
      </c>
      <c r="AI21" s="120"/>
      <c r="AJ21" s="121"/>
      <c r="AK21" s="54"/>
      <c r="AL21" s="122"/>
      <c r="AM21" s="123"/>
      <c r="AN21" s="124"/>
      <c r="AO21" s="124"/>
      <c r="AP21" s="124"/>
      <c r="AQ21" s="124"/>
      <c r="AR21" s="125"/>
      <c r="AS21" s="126"/>
      <c r="AT21" s="126"/>
      <c r="AU21" s="126"/>
      <c r="AV21" s="126"/>
      <c r="AW21" s="237"/>
      <c r="AX21" s="136"/>
      <c r="AY21" s="136"/>
    </row>
    <row r="22" spans="1:57" ht="15" customHeight="1" x14ac:dyDescent="0.25">
      <c r="A22" s="8" t="s">
        <v>204</v>
      </c>
      <c r="B22" s="4" t="s">
        <v>176</v>
      </c>
      <c r="C22" s="4">
        <v>3.5</v>
      </c>
      <c r="D22" t="s">
        <v>128</v>
      </c>
      <c r="F22" s="211"/>
      <c r="G22" s="28" t="s">
        <v>198</v>
      </c>
      <c r="H22" s="48">
        <v>3.5</v>
      </c>
      <c r="I22" s="50">
        <f>ROUNDUP((1/12*H22),1)</f>
        <v>0.30000000000000004</v>
      </c>
      <c r="J22" s="28">
        <v>0.2</v>
      </c>
      <c r="K22" s="28">
        <f>MAX(I22:J22)</f>
        <v>0.30000000000000004</v>
      </c>
      <c r="L22" s="28">
        <v>0.2</v>
      </c>
      <c r="M22" s="28">
        <f>0.15</f>
        <v>0.15</v>
      </c>
      <c r="N22" s="28">
        <f>MAX(L22:M22)</f>
        <v>0.2</v>
      </c>
      <c r="O22" s="28">
        <f>1.2*C$19*K22*N22</f>
        <v>1.7280000000000002</v>
      </c>
      <c r="P22" s="34">
        <f>K6</f>
        <v>7.2274285714285735</v>
      </c>
      <c r="Q22" s="28">
        <f>1.2*C$22*C$23*C$21</f>
        <v>10.71</v>
      </c>
      <c r="R22" s="30">
        <f>SUM(O22:Q22)</f>
        <v>19.665428571428574</v>
      </c>
      <c r="S22" s="30">
        <f>1/12*R22*(H22)^2</f>
        <v>20.075125000000003</v>
      </c>
      <c r="T22" s="30">
        <f>1/2*R22*H22</f>
        <v>34.414500000000004</v>
      </c>
      <c r="U22" s="30">
        <f>1/2*R22*H22</f>
        <v>34.414500000000004</v>
      </c>
      <c r="V22" s="31"/>
      <c r="X22" s="231"/>
      <c r="Y22" s="147" t="str">
        <f>G38</f>
        <v>L:</v>
      </c>
      <c r="Z22" s="130">
        <f>H38</f>
        <v>4</v>
      </c>
      <c r="AA22" s="137">
        <f>I38</f>
        <v>0.35</v>
      </c>
      <c r="AB22" s="137">
        <f>K38</f>
        <v>0.35</v>
      </c>
      <c r="AC22" s="137">
        <f>L38</f>
        <v>0.2</v>
      </c>
      <c r="AD22" s="148">
        <f>N38</f>
        <v>0.2</v>
      </c>
      <c r="AE22" s="148">
        <f>1.2*AB22*AD22*C$19</f>
        <v>2.016</v>
      </c>
      <c r="AF22" s="149">
        <f>1.2*C$21*C$22*C$23</f>
        <v>10.71</v>
      </c>
      <c r="AG22" s="150">
        <f>J9</f>
        <v>7.3780000000000001</v>
      </c>
      <c r="AH22" s="151">
        <f>J9</f>
        <v>7.3780000000000001</v>
      </c>
      <c r="AI22" s="232"/>
      <c r="AJ22" s="233"/>
      <c r="AK22" s="36">
        <v>2</v>
      </c>
      <c r="AL22" s="130">
        <v>2</v>
      </c>
      <c r="AM22" s="131">
        <f>SUM(AK22:AL22)</f>
        <v>4</v>
      </c>
      <c r="AN22" s="150">
        <f>AE22+AF22+AG22</f>
        <v>20.103999999999999</v>
      </c>
      <c r="AO22" s="150">
        <f>AN22*AK22</f>
        <v>40.207999999999998</v>
      </c>
      <c r="AP22" s="150">
        <f>AE22+AF22+AH22</f>
        <v>20.103999999999999</v>
      </c>
      <c r="AQ22" s="150">
        <f>AP22*AL22</f>
        <v>40.207999999999998</v>
      </c>
      <c r="AR22" s="149">
        <f>T58</f>
        <v>8.3457499999999971</v>
      </c>
      <c r="AS22" s="148">
        <f>((AN22*AM22^2)/12)+(AR22*AM22/8)</f>
        <v>30.978208333333331</v>
      </c>
      <c r="AT22" s="148">
        <f>((AN22*AM22^2)/12)+(AR22*AM22/8)</f>
        <v>30.978208333333331</v>
      </c>
      <c r="AU22" s="152">
        <f>(AN22*AM22*AM22/24)+(AR22*AM22/4)</f>
        <v>21.748416666666664</v>
      </c>
      <c r="AV22" s="148">
        <f>MAX(AS22:AU22)</f>
        <v>30.978208333333331</v>
      </c>
      <c r="AW22" s="238"/>
      <c r="AX22" s="132">
        <f>AF32</f>
        <v>44.380875000000003</v>
      </c>
      <c r="AY22" s="132">
        <f>AM32</f>
        <v>44.380874999999996</v>
      </c>
    </row>
    <row r="23" spans="1:57" ht="15" customHeight="1" x14ac:dyDescent="0.25">
      <c r="A23" s="8" t="s">
        <v>205</v>
      </c>
      <c r="B23" s="4" t="s">
        <v>176</v>
      </c>
      <c r="C23" s="4">
        <v>17</v>
      </c>
      <c r="D23" t="s">
        <v>196</v>
      </c>
      <c r="F23" s="211"/>
      <c r="G23" s="33" t="s">
        <v>209</v>
      </c>
      <c r="H23" s="47"/>
      <c r="I23" s="52"/>
      <c r="J23" s="32"/>
      <c r="K23" s="32"/>
      <c r="L23" s="32"/>
      <c r="M23" s="32"/>
      <c r="N23" s="32"/>
      <c r="O23" s="32"/>
      <c r="P23" s="29"/>
      <c r="Q23" s="32"/>
      <c r="R23" s="45"/>
      <c r="S23" s="45"/>
      <c r="T23" s="45"/>
      <c r="U23" s="45"/>
      <c r="V23" s="32"/>
      <c r="X23" s="62"/>
      <c r="Y23" s="68"/>
      <c r="Z23" s="73"/>
      <c r="AA23" s="73"/>
      <c r="AB23" s="73"/>
      <c r="AC23" s="73"/>
      <c r="AD23" s="83"/>
      <c r="AE23" s="85"/>
      <c r="AF23" s="91"/>
      <c r="AG23" s="91"/>
      <c r="AH23" s="98"/>
      <c r="AI23" s="98"/>
      <c r="AJ23" s="100"/>
      <c r="AK23" s="100"/>
      <c r="AL23" s="73"/>
      <c r="AM23" s="73"/>
      <c r="AN23" s="73"/>
      <c r="AO23" s="73"/>
      <c r="AP23" s="73"/>
      <c r="AQ23" s="73"/>
      <c r="AR23" s="73"/>
      <c r="AS23" s="78"/>
      <c r="AT23" s="99"/>
      <c r="AU23" s="109"/>
      <c r="AV23" s="109"/>
      <c r="AW23" s="113"/>
    </row>
    <row r="24" spans="1:57" ht="15" customHeight="1" x14ac:dyDescent="0.25">
      <c r="F24" s="210"/>
      <c r="G24" s="28" t="s">
        <v>198</v>
      </c>
      <c r="H24" s="48">
        <v>4</v>
      </c>
      <c r="I24" s="50">
        <v>0.3</v>
      </c>
      <c r="J24" s="28">
        <v>0.2</v>
      </c>
      <c r="K24" s="28">
        <f>MAX(I24:J24)</f>
        <v>0.3</v>
      </c>
      <c r="L24" s="28">
        <f>ROUNDUP((K24/2),1)</f>
        <v>0.2</v>
      </c>
      <c r="M24" s="28">
        <f>0.15</f>
        <v>0.15</v>
      </c>
      <c r="N24" s="28">
        <f>MAX(L24:M24)</f>
        <v>0.2</v>
      </c>
      <c r="O24" s="28">
        <f>1.2*C$19*K24*N24</f>
        <v>1.7279999999999998</v>
      </c>
      <c r="P24" s="34"/>
      <c r="Q24" s="28">
        <f>1.2*C$22*C$23*C$21</f>
        <v>10.71</v>
      </c>
      <c r="R24" s="30">
        <f>SUM(O24:Q24)</f>
        <v>12.438000000000001</v>
      </c>
      <c r="S24" s="30">
        <f>1/12*R24*(H24)^2</f>
        <v>16.584</v>
      </c>
      <c r="T24" s="30">
        <f>1/2*R24*H24</f>
        <v>24.876000000000001</v>
      </c>
      <c r="U24" s="30">
        <f>1/2*R24*H24</f>
        <v>24.876000000000001</v>
      </c>
      <c r="V24" s="31"/>
      <c r="AJ24" s="101"/>
      <c r="AK24" s="101"/>
      <c r="AL24" s="78"/>
      <c r="AM24" s="78"/>
      <c r="AN24" s="78"/>
      <c r="AO24" s="78"/>
      <c r="AP24" s="78"/>
      <c r="AQ24" s="78"/>
      <c r="AR24" s="78"/>
      <c r="AS24" s="78"/>
      <c r="AT24" s="99"/>
      <c r="AU24" s="109"/>
      <c r="AV24" s="109"/>
      <c r="AW24" s="113"/>
    </row>
    <row r="25" spans="1:57" ht="15" customHeight="1" x14ac:dyDescent="0.25">
      <c r="F25" s="218" t="s">
        <v>210</v>
      </c>
      <c r="G25" s="46" t="s">
        <v>209</v>
      </c>
      <c r="H25" s="47"/>
      <c r="I25" s="52"/>
      <c r="J25" s="54"/>
      <c r="K25" s="54"/>
      <c r="L25" s="54"/>
      <c r="M25" s="54"/>
      <c r="N25" s="54"/>
      <c r="O25" s="54"/>
      <c r="P25" s="55" t="s">
        <v>211</v>
      </c>
      <c r="Q25" s="54"/>
      <c r="R25" s="56"/>
      <c r="S25" s="56"/>
      <c r="T25" s="56"/>
      <c r="U25" s="56"/>
      <c r="V25" s="40"/>
      <c r="X25" s="63" t="s">
        <v>229</v>
      </c>
      <c r="Y25" s="69"/>
      <c r="Z25" s="74"/>
      <c r="AA25" s="78"/>
      <c r="AB25" s="78"/>
      <c r="AC25" s="78"/>
      <c r="AD25" s="78"/>
      <c r="AE25" s="86"/>
      <c r="AF25" s="1"/>
      <c r="AG25" s="95"/>
      <c r="AH25" s="95"/>
      <c r="AI25" s="86"/>
      <c r="AJ25" s="86"/>
      <c r="AK25" s="101"/>
      <c r="AL25" s="101"/>
      <c r="AM25" s="78"/>
      <c r="AN25" s="78"/>
      <c r="AP25" s="106"/>
      <c r="AQ25" s="107"/>
      <c r="AR25" s="78"/>
      <c r="AS25" s="78"/>
      <c r="AT25" s="78"/>
      <c r="AU25" s="99"/>
      <c r="AV25" s="109"/>
      <c r="AW25" s="113"/>
    </row>
    <row r="26" spans="1:57" ht="15" customHeight="1" x14ac:dyDescent="0.25">
      <c r="A26" t="s">
        <v>199</v>
      </c>
      <c r="F26" s="219"/>
      <c r="G26" s="35" t="s">
        <v>198</v>
      </c>
      <c r="H26" s="48">
        <v>4</v>
      </c>
      <c r="I26" s="50">
        <f>H26/16</f>
        <v>0.25</v>
      </c>
      <c r="J26" s="35">
        <v>0.2</v>
      </c>
      <c r="K26" s="35">
        <f>MAX(I26:J26)</f>
        <v>0.25</v>
      </c>
      <c r="L26" s="35">
        <f>K26/2</f>
        <v>0.125</v>
      </c>
      <c r="M26" s="35">
        <f>0.15</f>
        <v>0.15</v>
      </c>
      <c r="N26" s="35">
        <f>MAX(L26:M26)</f>
        <v>0.15</v>
      </c>
      <c r="O26" s="28">
        <f>1.2*C$19*K26*N26</f>
        <v>1.0799999999999998</v>
      </c>
      <c r="P26" s="37">
        <f>K8</f>
        <v>5.7044456250000009</v>
      </c>
      <c r="Q26" s="35"/>
      <c r="R26" s="36">
        <f>SUM(O26:Q26)</f>
        <v>6.7844456250000009</v>
      </c>
      <c r="S26" s="36">
        <f>1/12*R26*(H26)^2</f>
        <v>9.0459275000000012</v>
      </c>
      <c r="T26" s="36">
        <f>1/2*R26*H26</f>
        <v>13.568891250000002</v>
      </c>
      <c r="U26" s="36">
        <f>1/2*R26*H26</f>
        <v>13.568891250000002</v>
      </c>
      <c r="V26" s="41"/>
      <c r="X26" s="64" t="s">
        <v>230</v>
      </c>
      <c r="Y26" s="70"/>
      <c r="Z26" s="74"/>
      <c r="AA26" s="78"/>
      <c r="AB26" s="78"/>
      <c r="AC26" s="78"/>
      <c r="AD26" s="78"/>
      <c r="AE26" s="86"/>
      <c r="AF26" s="92"/>
      <c r="AG26" s="96"/>
      <c r="AH26" s="96"/>
      <c r="AI26" s="99"/>
      <c r="AJ26" s="99"/>
      <c r="AW26" s="113"/>
    </row>
    <row r="27" spans="1:57" x14ac:dyDescent="0.25">
      <c r="B27" s="24" t="s">
        <v>176</v>
      </c>
      <c r="C27" s="24" t="s">
        <v>200</v>
      </c>
      <c r="D27" s="24"/>
      <c r="F27" s="209" t="s">
        <v>212</v>
      </c>
      <c r="G27" s="29" t="s">
        <v>206</v>
      </c>
      <c r="H27" s="47"/>
      <c r="I27" s="49"/>
      <c r="J27" s="29"/>
      <c r="K27" s="29"/>
      <c r="L27" s="29"/>
      <c r="M27" s="29"/>
      <c r="N27" s="29"/>
      <c r="O27" s="29"/>
      <c r="P27" s="4" t="s">
        <v>207</v>
      </c>
      <c r="Q27" s="29"/>
      <c r="R27" s="43"/>
      <c r="S27" s="43"/>
      <c r="T27" s="43"/>
      <c r="U27" s="43"/>
      <c r="V27" s="32"/>
      <c r="X27" s="222" t="s">
        <v>177</v>
      </c>
      <c r="Y27" s="223"/>
      <c r="Z27" s="224"/>
      <c r="AA27" s="241" t="s">
        <v>188</v>
      </c>
      <c r="AB27" s="242"/>
      <c r="AC27" s="242"/>
      <c r="AD27" s="242"/>
      <c r="AE27" s="243"/>
      <c r="AF27" s="220" t="s">
        <v>235</v>
      </c>
      <c r="AH27" s="222" t="s">
        <v>189</v>
      </c>
      <c r="AI27" s="223"/>
      <c r="AJ27" s="223"/>
      <c r="AK27" s="223"/>
      <c r="AL27" s="224"/>
      <c r="AM27" s="220" t="s">
        <v>235</v>
      </c>
      <c r="AO27" s="101"/>
      <c r="AP27" s="141"/>
      <c r="AQ27" s="141"/>
      <c r="AR27" s="141"/>
      <c r="AS27" s="141"/>
      <c r="AT27" s="141"/>
      <c r="AU27" s="141"/>
      <c r="AV27" s="141"/>
    </row>
    <row r="28" spans="1:57" x14ac:dyDescent="0.25">
      <c r="B28" s="25" t="s">
        <v>176</v>
      </c>
      <c r="C28" s="25" t="s">
        <v>202</v>
      </c>
      <c r="D28" s="25"/>
      <c r="F28" s="211"/>
      <c r="G28" s="28" t="s">
        <v>198</v>
      </c>
      <c r="H28" s="48">
        <v>1.5</v>
      </c>
      <c r="I28" s="50">
        <f>ROUNDUP((1/12*H28),1)</f>
        <v>0.2</v>
      </c>
      <c r="J28" s="28">
        <v>0.2</v>
      </c>
      <c r="K28" s="28">
        <f>MAX(I28:J28)</f>
        <v>0.2</v>
      </c>
      <c r="L28" s="28">
        <f>K28/2</f>
        <v>0.1</v>
      </c>
      <c r="M28" s="28">
        <f>0.15</f>
        <v>0.15</v>
      </c>
      <c r="N28" s="28">
        <f>MAX(L28:M28)</f>
        <v>0.15</v>
      </c>
      <c r="O28" s="28">
        <f>1.2*C$19*K28*N28</f>
        <v>0.86399999999999999</v>
      </c>
      <c r="P28" s="5">
        <f>J5</f>
        <v>6.3239999999999998</v>
      </c>
      <c r="Q28" s="28"/>
      <c r="R28" s="30">
        <f>SUM(O28:Q28)</f>
        <v>7.1879999999999997</v>
      </c>
      <c r="S28" s="30">
        <f>1/12*R28*(H28)^2</f>
        <v>1.34775</v>
      </c>
      <c r="T28" s="30">
        <f>1/2*R28*H28</f>
        <v>5.391</v>
      </c>
      <c r="U28" s="30">
        <f>1/2*R28*H28</f>
        <v>5.391</v>
      </c>
      <c r="V28" s="31"/>
      <c r="X28" s="225" t="s">
        <v>17</v>
      </c>
      <c r="Y28" s="226"/>
      <c r="Z28" s="227"/>
      <c r="AA28" s="244"/>
      <c r="AB28" s="245"/>
      <c r="AC28" s="245"/>
      <c r="AD28" s="245"/>
      <c r="AE28" s="246"/>
      <c r="AF28" s="221"/>
      <c r="AH28" s="225"/>
      <c r="AI28" s="226"/>
      <c r="AJ28" s="226"/>
      <c r="AK28" s="226"/>
      <c r="AL28" s="227"/>
      <c r="AM28" s="221"/>
      <c r="AO28" s="101"/>
      <c r="AP28" s="141"/>
      <c r="AQ28" s="141"/>
      <c r="AR28" s="141"/>
      <c r="AS28" s="141"/>
      <c r="AT28" s="141"/>
      <c r="AU28" s="141"/>
      <c r="AV28" s="141"/>
    </row>
    <row r="29" spans="1:57" ht="15" customHeight="1" x14ac:dyDescent="0.25">
      <c r="F29" s="211"/>
      <c r="G29" s="33" t="s">
        <v>201</v>
      </c>
      <c r="H29" s="47"/>
      <c r="I29" s="51"/>
      <c r="J29" s="33"/>
      <c r="K29" s="33"/>
      <c r="L29" s="33"/>
      <c r="M29" s="33"/>
      <c r="N29" s="33"/>
      <c r="O29" s="33"/>
      <c r="P29" s="29" t="s">
        <v>213</v>
      </c>
      <c r="Q29" s="33"/>
      <c r="R29" s="44"/>
      <c r="S29" s="44"/>
      <c r="T29" s="44"/>
      <c r="U29" s="44"/>
      <c r="V29" s="32"/>
      <c r="X29" s="230" t="s">
        <v>212</v>
      </c>
      <c r="Y29" s="65" t="str">
        <f>Y19</f>
        <v>(4-7)</v>
      </c>
      <c r="Z29" s="72"/>
      <c r="AA29" s="79" t="s">
        <v>231</v>
      </c>
      <c r="AB29" s="79" t="s">
        <v>232</v>
      </c>
      <c r="AC29" s="79" t="s">
        <v>233</v>
      </c>
      <c r="AD29" s="79" t="s">
        <v>234</v>
      </c>
      <c r="AE29" s="87" t="s">
        <v>253</v>
      </c>
      <c r="AF29" s="33"/>
      <c r="AH29" s="79" t="s">
        <v>231</v>
      </c>
      <c r="AI29" s="79" t="s">
        <v>232</v>
      </c>
      <c r="AJ29" s="79" t="s">
        <v>233</v>
      </c>
      <c r="AK29" s="79" t="s">
        <v>237</v>
      </c>
      <c r="AL29" s="87" t="s">
        <v>254</v>
      </c>
      <c r="AM29" s="33"/>
      <c r="AN29" s="26"/>
      <c r="AO29" s="101"/>
      <c r="AP29" s="143"/>
      <c r="AQ29" s="99"/>
      <c r="AR29" s="114"/>
      <c r="AS29" s="96"/>
      <c r="AT29" s="96"/>
      <c r="AU29" s="96"/>
      <c r="AV29" s="96"/>
      <c r="AW29" s="109"/>
    </row>
    <row r="30" spans="1:57" ht="15" customHeight="1" x14ac:dyDescent="0.25">
      <c r="F30" s="211"/>
      <c r="G30" s="28" t="s">
        <v>198</v>
      </c>
      <c r="H30" s="48">
        <v>3.5</v>
      </c>
      <c r="I30" s="50">
        <v>0.3</v>
      </c>
      <c r="J30" s="28">
        <v>0.2</v>
      </c>
      <c r="K30" s="28">
        <f>MAX(I30:J30)</f>
        <v>0.3</v>
      </c>
      <c r="L30" s="28">
        <f>K30/2</f>
        <v>0.15</v>
      </c>
      <c r="M30" s="28">
        <f>0.15</f>
        <v>0.15</v>
      </c>
      <c r="N30" s="28">
        <f>MAX(L30:M30)</f>
        <v>0.15</v>
      </c>
      <c r="O30" s="28">
        <f>1.2*C$19*K30*N30</f>
        <v>1.2959999999999998</v>
      </c>
      <c r="P30" s="34">
        <f>K6+J7</f>
        <v>14.605428571428574</v>
      </c>
      <c r="Q30" s="28">
        <f>1.2*C$22*C$23*C$21</f>
        <v>10.71</v>
      </c>
      <c r="R30" s="30">
        <f>SUM(O30:Q30)</f>
        <v>26.611428571428576</v>
      </c>
      <c r="S30" s="30">
        <f>1/12*R30*(H30)^2</f>
        <v>27.165833333333335</v>
      </c>
      <c r="T30" s="30">
        <f>1/2*R30*H30</f>
        <v>46.570000000000007</v>
      </c>
      <c r="U30" s="30">
        <f>1/2*R30*H30</f>
        <v>46.570000000000007</v>
      </c>
      <c r="V30" s="31"/>
      <c r="X30" s="231"/>
      <c r="Y30" s="66" t="str">
        <f>Y20</f>
        <v>L:</v>
      </c>
      <c r="Z30" s="153">
        <f>Z20</f>
        <v>4</v>
      </c>
      <c r="AA30" s="80">
        <f>AR20*AL20/AM20</f>
        <v>4.1728749999999986</v>
      </c>
      <c r="AB30" s="80">
        <f>(AO20*((1/2*AK20)+AL20))/AM20</f>
        <v>38.7126684375</v>
      </c>
      <c r="AC30" s="82">
        <f>(AQ20*(1/2*AL20)/AM20)</f>
        <v>12.9042228125</v>
      </c>
      <c r="AD30" s="80">
        <f>AS20</f>
        <v>38.584135833333335</v>
      </c>
      <c r="AE30" s="82">
        <f>AT20</f>
        <v>38.584135833333335</v>
      </c>
      <c r="AF30" s="93">
        <f>AA30+AB30+AC30+AD30-AE30</f>
        <v>55.78976625</v>
      </c>
      <c r="AG30" s="97"/>
      <c r="AH30" s="80">
        <f>(AR20*AK20)/AM20</f>
        <v>4.1728749999999986</v>
      </c>
      <c r="AI30" s="80">
        <f>(AO20*(1/2*AK20)/AM20)</f>
        <v>12.9042228125</v>
      </c>
      <c r="AJ30" s="102">
        <f>(AQ20*((1/2*AL20)+AK20)/AM20)</f>
        <v>38.7126684375</v>
      </c>
      <c r="AK30" s="80">
        <f>AS20</f>
        <v>38.584135833333335</v>
      </c>
      <c r="AL30" s="102">
        <f>AT20</f>
        <v>38.584135833333335</v>
      </c>
      <c r="AM30" s="94">
        <f>AH30+AI30+AJ30-AK30+AL30</f>
        <v>55.78976625</v>
      </c>
      <c r="AN30" s="97"/>
      <c r="AO30" s="145"/>
      <c r="AP30" s="143"/>
      <c r="AQ30" s="138"/>
      <c r="AR30" s="74"/>
      <c r="AS30" s="139"/>
      <c r="AT30" s="139"/>
      <c r="AU30" s="139"/>
      <c r="AV30" s="139"/>
    </row>
    <row r="31" spans="1:57" ht="15" customHeight="1" x14ac:dyDescent="0.25">
      <c r="F31" s="211"/>
      <c r="G31" s="46" t="s">
        <v>209</v>
      </c>
      <c r="H31" s="47"/>
      <c r="I31" s="52"/>
      <c r="J31" s="54"/>
      <c r="K31" s="54"/>
      <c r="L31" s="54"/>
      <c r="M31" s="54"/>
      <c r="N31" s="54"/>
      <c r="O31" s="54"/>
      <c r="P31" s="55"/>
      <c r="Q31" s="54"/>
      <c r="R31" s="56"/>
      <c r="S31" s="56"/>
      <c r="T31" s="56"/>
      <c r="U31" s="56"/>
      <c r="V31" s="38"/>
      <c r="X31" s="234" t="s">
        <v>216</v>
      </c>
      <c r="Y31" s="67" t="str">
        <f>Y21</f>
        <v>(4-7)</v>
      </c>
      <c r="Z31" s="75"/>
      <c r="AA31" s="79" t="s">
        <v>231</v>
      </c>
      <c r="AB31" s="79" t="s">
        <v>232</v>
      </c>
      <c r="AC31" s="79" t="s">
        <v>233</v>
      </c>
      <c r="AD31" s="79" t="s">
        <v>234</v>
      </c>
      <c r="AE31" s="87" t="s">
        <v>255</v>
      </c>
      <c r="AF31" s="93"/>
      <c r="AG31" s="97"/>
      <c r="AH31" s="79" t="s">
        <v>231</v>
      </c>
      <c r="AI31" s="79" t="s">
        <v>232</v>
      </c>
      <c r="AJ31" s="79" t="s">
        <v>233</v>
      </c>
      <c r="AK31" s="79" t="s">
        <v>237</v>
      </c>
      <c r="AL31" s="87" t="s">
        <v>254</v>
      </c>
      <c r="AM31" s="93"/>
      <c r="AN31" s="97"/>
      <c r="AO31" s="101"/>
      <c r="AP31" s="143"/>
      <c r="AQ31" s="70"/>
      <c r="AR31" s="114"/>
      <c r="AS31" s="96"/>
      <c r="AT31" s="96"/>
      <c r="AU31" s="96"/>
      <c r="AV31" s="96"/>
      <c r="AW31" s="101"/>
      <c r="AX31" s="141"/>
      <c r="AY31" s="141"/>
      <c r="AZ31" s="141"/>
      <c r="BA31" s="141"/>
      <c r="BB31" s="141"/>
      <c r="BC31" s="141"/>
      <c r="BD31" s="141"/>
      <c r="BE31" s="101"/>
    </row>
    <row r="32" spans="1:57" ht="15" customHeight="1" x14ac:dyDescent="0.25">
      <c r="F32" s="210"/>
      <c r="G32" s="35" t="s">
        <v>198</v>
      </c>
      <c r="H32" s="48">
        <v>4</v>
      </c>
      <c r="I32" s="50">
        <v>0.35</v>
      </c>
      <c r="J32" s="35">
        <v>0.2</v>
      </c>
      <c r="K32" s="35">
        <f>MAX(I32:J32)</f>
        <v>0.35</v>
      </c>
      <c r="L32" s="35">
        <f>ROUNDUP((K32/2),1)</f>
        <v>0.2</v>
      </c>
      <c r="M32" s="35">
        <f>0.15</f>
        <v>0.15</v>
      </c>
      <c r="N32" s="35">
        <f>MAX(L32:M32)</f>
        <v>0.2</v>
      </c>
      <c r="O32" s="35"/>
      <c r="P32" s="37"/>
      <c r="Q32" s="35"/>
      <c r="R32" s="36"/>
      <c r="S32" s="36"/>
      <c r="T32" s="36"/>
      <c r="U32" s="36"/>
      <c r="V32" s="39"/>
      <c r="X32" s="235"/>
      <c r="Y32" s="71" t="str">
        <f>Y22</f>
        <v>L:</v>
      </c>
      <c r="Z32" s="153">
        <f>Z22</f>
        <v>4</v>
      </c>
      <c r="AA32" s="81">
        <f>AR22*AL22/AM22</f>
        <v>4.1728749999999986</v>
      </c>
      <c r="AB32" s="81">
        <f>(AO22*((1/2*AK22)+AL22))/AM22</f>
        <v>30.155999999999999</v>
      </c>
      <c r="AC32" s="81">
        <f>(AQ22*(1/2*AL22)/AM22)</f>
        <v>10.052</v>
      </c>
      <c r="AD32" s="81">
        <f>AS22</f>
        <v>30.978208333333331</v>
      </c>
      <c r="AE32" s="88">
        <f>AT22</f>
        <v>30.978208333333331</v>
      </c>
      <c r="AF32" s="94">
        <f>AA32+AB32+AC32+AD32-AE32</f>
        <v>44.380875000000003</v>
      </c>
      <c r="AG32" s="97"/>
      <c r="AH32" s="81">
        <f>(AR22*AK22)/AM22</f>
        <v>4.1728749999999986</v>
      </c>
      <c r="AI32" s="81">
        <f>(AO22*(1/2*AK22)/AM22)</f>
        <v>10.052</v>
      </c>
      <c r="AJ32" s="103">
        <f>(AQ22*((1/2*AL22)+AK22)/AM22)</f>
        <v>30.155999999999999</v>
      </c>
      <c r="AK32" s="81">
        <f>AS22</f>
        <v>30.978208333333331</v>
      </c>
      <c r="AL32" s="103">
        <f>AT22</f>
        <v>30.978208333333331</v>
      </c>
      <c r="AM32" s="94">
        <f>AH32+AI32+AJ32-AK32+AL32</f>
        <v>44.380874999999996</v>
      </c>
      <c r="AN32" s="97"/>
      <c r="AO32" s="145"/>
      <c r="AP32" s="143"/>
      <c r="AQ32" s="138"/>
      <c r="AR32" s="74"/>
      <c r="AS32" s="139"/>
      <c r="AT32" s="139"/>
      <c r="AU32" s="139"/>
      <c r="AV32" s="139"/>
      <c r="AW32" s="101"/>
      <c r="AX32" s="141"/>
      <c r="AY32" s="141"/>
      <c r="AZ32" s="141"/>
      <c r="BA32" s="141"/>
      <c r="BB32" s="141"/>
      <c r="BC32" s="141"/>
      <c r="BD32" s="141"/>
      <c r="BE32" s="101"/>
    </row>
    <row r="33" spans="1:57" ht="15" customHeight="1" x14ac:dyDescent="0.25">
      <c r="F33" s="212" t="s">
        <v>214</v>
      </c>
      <c r="G33" s="160" t="s">
        <v>215</v>
      </c>
      <c r="H33" s="252"/>
      <c r="I33" s="177"/>
      <c r="J33" s="177"/>
      <c r="K33" s="177"/>
      <c r="L33" s="177"/>
      <c r="M33" s="177"/>
      <c r="N33" s="177"/>
      <c r="O33" s="177"/>
      <c r="P33" s="167" t="s">
        <v>218</v>
      </c>
      <c r="Q33" s="177"/>
      <c r="R33" s="254"/>
      <c r="S33" s="254"/>
      <c r="T33" s="254"/>
      <c r="U33" s="254"/>
      <c r="V33" s="4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97"/>
      <c r="AO33" s="101"/>
      <c r="AP33" s="143"/>
      <c r="AQ33" s="99"/>
      <c r="AR33" s="114"/>
      <c r="AS33" s="96"/>
      <c r="AT33" s="96"/>
      <c r="AU33" s="96"/>
      <c r="AV33" s="96"/>
      <c r="AW33" s="101"/>
      <c r="AX33" s="143"/>
      <c r="AY33" s="99"/>
      <c r="AZ33" s="114"/>
      <c r="BA33" s="144"/>
      <c r="BB33" s="96"/>
      <c r="BC33" s="96"/>
      <c r="BD33" s="96"/>
      <c r="BE33" s="101"/>
    </row>
    <row r="34" spans="1:57" ht="15" customHeight="1" x14ac:dyDescent="0.25">
      <c r="F34" s="213"/>
      <c r="G34" s="161" t="s">
        <v>198</v>
      </c>
      <c r="H34" s="253">
        <v>2.5</v>
      </c>
      <c r="I34" s="161">
        <v>0.25</v>
      </c>
      <c r="J34" s="161">
        <v>0.2</v>
      </c>
      <c r="K34" s="161">
        <f>MAX(I34:J34)</f>
        <v>0.25</v>
      </c>
      <c r="L34" s="161">
        <f>K34/2</f>
        <v>0.125</v>
      </c>
      <c r="M34" s="161">
        <f>0.15</f>
        <v>0.15</v>
      </c>
      <c r="N34" s="161">
        <f>MAX(L34:M34)</f>
        <v>0.15</v>
      </c>
      <c r="O34" s="161">
        <f>1.2*C$19*K34*N34</f>
        <v>1.0799999999999998</v>
      </c>
      <c r="P34" s="253">
        <f>K10</f>
        <v>5.0591999999999997</v>
      </c>
      <c r="Q34" s="161">
        <f>1.2*1*C$23*C$21</f>
        <v>3.0599999999999996</v>
      </c>
      <c r="R34" s="186">
        <f>SUM(O34:Q34)</f>
        <v>9.1991999999999994</v>
      </c>
      <c r="S34" s="186">
        <f>1/12*R34*(H34)^2</f>
        <v>4.7912499999999998</v>
      </c>
      <c r="T34" s="186">
        <f>1/2*R34*H34</f>
        <v>11.498999999999999</v>
      </c>
      <c r="U34" s="186">
        <f>1/2*R34*H34</f>
        <v>11.498999999999999</v>
      </c>
      <c r="V34" s="41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97"/>
      <c r="AO34" s="145"/>
      <c r="AP34" s="143"/>
      <c r="AQ34" s="138"/>
      <c r="AR34" s="74"/>
      <c r="AS34" s="139"/>
      <c r="AT34" s="139"/>
      <c r="AU34" s="139"/>
      <c r="AV34" s="139"/>
      <c r="AW34" s="101"/>
      <c r="AX34" s="143"/>
      <c r="AY34" s="138"/>
      <c r="AZ34" s="74"/>
      <c r="BA34" s="139"/>
      <c r="BB34" s="139"/>
      <c r="BC34" s="139"/>
      <c r="BD34" s="139"/>
      <c r="BE34" s="101"/>
    </row>
    <row r="35" spans="1:57" ht="15" customHeight="1" x14ac:dyDescent="0.25">
      <c r="F35" s="209" t="s">
        <v>216</v>
      </c>
      <c r="G35" s="33" t="s">
        <v>201</v>
      </c>
      <c r="H35" s="47"/>
      <c r="I35" s="51"/>
      <c r="J35" s="33"/>
      <c r="K35" s="33"/>
      <c r="L35" s="33"/>
      <c r="M35" s="33"/>
      <c r="N35" s="33"/>
      <c r="O35" s="33"/>
      <c r="P35" s="29" t="s">
        <v>217</v>
      </c>
      <c r="Q35" s="33"/>
      <c r="R35" s="44"/>
      <c r="S35" s="44"/>
      <c r="T35" s="44"/>
      <c r="U35" s="44"/>
      <c r="V35" s="32"/>
      <c r="X35" s="101"/>
      <c r="Y35" s="141"/>
      <c r="Z35" s="70"/>
      <c r="AA35" s="74"/>
      <c r="AB35" s="96"/>
      <c r="AC35" s="96"/>
      <c r="AD35" s="96"/>
      <c r="AE35" s="96"/>
      <c r="AF35" s="101"/>
      <c r="AG35" s="143"/>
      <c r="AH35" s="70"/>
      <c r="AI35" s="114"/>
      <c r="AJ35" s="144"/>
      <c r="AK35" s="96"/>
      <c r="AL35" s="96"/>
      <c r="AM35" s="96"/>
      <c r="AN35" s="101"/>
    </row>
    <row r="36" spans="1:57" ht="15" customHeight="1" x14ac:dyDescent="0.25">
      <c r="F36" s="211"/>
      <c r="G36" s="28" t="s">
        <v>198</v>
      </c>
      <c r="H36" s="48">
        <v>3.5</v>
      </c>
      <c r="I36" s="50">
        <v>0.3</v>
      </c>
      <c r="J36" s="28">
        <v>0.2</v>
      </c>
      <c r="K36" s="28">
        <f>MAX(I36:J36)</f>
        <v>0.3</v>
      </c>
      <c r="L36" s="28">
        <f>K36/2</f>
        <v>0.15</v>
      </c>
      <c r="M36" s="28">
        <f>0.15</f>
        <v>0.15</v>
      </c>
      <c r="N36" s="28">
        <f>MAX(L36:M36)</f>
        <v>0.15</v>
      </c>
      <c r="O36" s="28">
        <f>1.2*C$19*K36*N36</f>
        <v>1.2959999999999998</v>
      </c>
      <c r="P36" s="34">
        <f>J7</f>
        <v>7.3780000000000001</v>
      </c>
      <c r="Q36" s="28">
        <f>1.2*C$22*C$23*C$21</f>
        <v>10.71</v>
      </c>
      <c r="R36" s="30">
        <f>SUM(O36:Q36)</f>
        <v>19.384</v>
      </c>
      <c r="S36" s="30">
        <f>1/12*R36*(H36)^2</f>
        <v>19.787833333333332</v>
      </c>
      <c r="T36" s="30">
        <f>1/2*R36*H36</f>
        <v>33.921999999999997</v>
      </c>
      <c r="U36" s="30">
        <f>1/2*R36*H36</f>
        <v>33.921999999999997</v>
      </c>
      <c r="V36" s="31"/>
      <c r="X36" s="145"/>
      <c r="Y36" s="141"/>
      <c r="Z36" s="140"/>
      <c r="AA36" s="74"/>
      <c r="AB36" s="139"/>
      <c r="AC36" s="139"/>
      <c r="AD36" s="139"/>
      <c r="AE36" s="139"/>
      <c r="AF36" s="101"/>
      <c r="AG36" s="143"/>
      <c r="AH36" s="138"/>
      <c r="AI36" s="74"/>
      <c r="AJ36" s="139"/>
      <c r="AK36" s="139"/>
      <c r="AL36" s="139"/>
      <c r="AM36" s="139"/>
      <c r="AN36" s="101"/>
    </row>
    <row r="37" spans="1:57" ht="15" customHeight="1" x14ac:dyDescent="0.25">
      <c r="F37" s="211"/>
      <c r="G37" s="46" t="s">
        <v>209</v>
      </c>
      <c r="H37" s="47"/>
      <c r="I37" s="52"/>
      <c r="J37" s="54"/>
      <c r="K37" s="54"/>
      <c r="L37" s="54"/>
      <c r="M37" s="54"/>
      <c r="N37" s="54"/>
      <c r="O37" s="54"/>
      <c r="P37" s="55"/>
      <c r="Q37" s="54"/>
      <c r="R37" s="56"/>
      <c r="S37" s="56"/>
      <c r="T37" s="56"/>
      <c r="U37" s="56"/>
      <c r="V37" s="38"/>
      <c r="X37" s="101"/>
      <c r="Y37" s="101"/>
      <c r="Z37" s="101"/>
      <c r="AA37" s="101"/>
      <c r="AB37" s="101"/>
      <c r="AC37" s="101"/>
      <c r="AD37" s="101"/>
      <c r="AE37" s="101"/>
      <c r="AF37" s="101"/>
      <c r="AG37" s="143"/>
      <c r="AH37" s="99"/>
      <c r="AI37" s="114"/>
      <c r="AJ37" s="144"/>
      <c r="AK37" s="96"/>
      <c r="AL37" s="96"/>
      <c r="AM37" s="96"/>
      <c r="AN37" s="101"/>
    </row>
    <row r="38" spans="1:57" ht="15" customHeight="1" x14ac:dyDescent="0.25">
      <c r="F38" s="211"/>
      <c r="G38" s="35" t="s">
        <v>198</v>
      </c>
      <c r="H38" s="48">
        <v>4</v>
      </c>
      <c r="I38" s="50">
        <v>0.35</v>
      </c>
      <c r="J38" s="35">
        <v>0.2</v>
      </c>
      <c r="K38" s="35">
        <f>MAX(I38:J38)</f>
        <v>0.35</v>
      </c>
      <c r="L38" s="35">
        <f>ROUNDUP((K38/2),1)</f>
        <v>0.2</v>
      </c>
      <c r="M38" s="35">
        <f>0.15</f>
        <v>0.15</v>
      </c>
      <c r="N38" s="35">
        <f>MAX(L38:M38)</f>
        <v>0.2</v>
      </c>
      <c r="O38" s="35"/>
      <c r="P38" s="37"/>
      <c r="Q38" s="35"/>
      <c r="R38" s="36"/>
      <c r="S38" s="36"/>
      <c r="T38" s="36"/>
      <c r="U38" s="36"/>
      <c r="V38" s="39"/>
      <c r="X38" s="101"/>
      <c r="Y38" s="101"/>
      <c r="Z38" s="101"/>
      <c r="AA38" s="101"/>
      <c r="AB38" s="101"/>
      <c r="AC38" s="101"/>
      <c r="AD38" s="101"/>
      <c r="AE38" s="101"/>
      <c r="AF38" s="101"/>
      <c r="AG38" s="143"/>
      <c r="AH38" s="138"/>
      <c r="AI38" s="74"/>
      <c r="AJ38" s="139"/>
      <c r="AK38" s="139"/>
      <c r="AL38" s="139"/>
      <c r="AM38" s="139"/>
      <c r="AN38" s="101"/>
    </row>
    <row r="39" spans="1:57" ht="15" customHeight="1" x14ac:dyDescent="0.25">
      <c r="F39" s="211"/>
      <c r="G39" s="46" t="s">
        <v>215</v>
      </c>
      <c r="H39" s="47"/>
      <c r="I39" s="52"/>
      <c r="J39" s="32"/>
      <c r="K39" s="32"/>
      <c r="L39" s="32"/>
      <c r="M39" s="32"/>
      <c r="N39" s="32"/>
      <c r="O39" s="32"/>
      <c r="P39" s="29" t="s">
        <v>218</v>
      </c>
      <c r="Q39" s="32"/>
      <c r="R39" s="45"/>
      <c r="S39" s="45"/>
      <c r="T39" s="45"/>
      <c r="U39" s="45"/>
      <c r="V39" s="32"/>
      <c r="X39" s="146"/>
      <c r="Y39" s="141"/>
      <c r="Z39" s="141"/>
      <c r="AA39" s="141"/>
      <c r="AB39" s="141"/>
      <c r="AC39" s="141"/>
      <c r="AD39" s="141"/>
      <c r="AE39" s="141"/>
      <c r="AF39" s="101"/>
      <c r="AG39" s="141"/>
      <c r="AH39" s="70"/>
      <c r="AI39" s="74"/>
      <c r="AJ39" s="144"/>
      <c r="AK39" s="96"/>
      <c r="AL39" s="96"/>
      <c r="AM39" s="96"/>
      <c r="AN39" s="101"/>
    </row>
    <row r="40" spans="1:57" ht="15" customHeight="1" x14ac:dyDescent="0.25">
      <c r="F40" s="210"/>
      <c r="G40" s="35" t="s">
        <v>198</v>
      </c>
      <c r="H40" s="48">
        <v>2.5</v>
      </c>
      <c r="I40" s="50">
        <v>0.25</v>
      </c>
      <c r="J40" s="28">
        <v>0.2</v>
      </c>
      <c r="K40" s="28">
        <f>MAX(I40:J40)</f>
        <v>0.25</v>
      </c>
      <c r="L40" s="28">
        <f>K40/2</f>
        <v>0.125</v>
      </c>
      <c r="M40" s="28">
        <f>0.15</f>
        <v>0.15</v>
      </c>
      <c r="N40" s="28">
        <f>MAX(L40:M40)</f>
        <v>0.15</v>
      </c>
      <c r="O40" s="28">
        <f>1.2*C$19*K40*N40</f>
        <v>1.0799999999999998</v>
      </c>
      <c r="P40" s="34">
        <f>K10</f>
        <v>5.0591999999999997</v>
      </c>
      <c r="Q40" s="28">
        <f>1.2*1*C$23*C$21</f>
        <v>3.0599999999999996</v>
      </c>
      <c r="R40" s="30">
        <f>SUM(O40:Q40)</f>
        <v>9.1991999999999994</v>
      </c>
      <c r="S40" s="30">
        <f>1/12*R40*(H40)^2</f>
        <v>4.7912499999999998</v>
      </c>
      <c r="T40" s="30">
        <f>1/2*R40*H40</f>
        <v>11.498999999999999</v>
      </c>
      <c r="U40" s="30">
        <f>1/2*R40*H40</f>
        <v>11.498999999999999</v>
      </c>
      <c r="V40" s="31"/>
      <c r="X40" s="142"/>
      <c r="Y40" s="141"/>
      <c r="Z40" s="141"/>
      <c r="AA40" s="141"/>
      <c r="AB40" s="141"/>
      <c r="AC40" s="141"/>
      <c r="AD40" s="141"/>
      <c r="AE40" s="141"/>
      <c r="AF40" s="101"/>
      <c r="AG40" s="141"/>
      <c r="AH40" s="140"/>
      <c r="AI40" s="74"/>
      <c r="AJ40" s="139"/>
      <c r="AK40" s="139"/>
      <c r="AL40" s="139"/>
      <c r="AM40" s="139"/>
      <c r="AN40" s="101"/>
    </row>
    <row r="41" spans="1:57" ht="15" customHeight="1" x14ac:dyDescent="0.25">
      <c r="X41" s="142"/>
      <c r="Y41" s="143"/>
      <c r="Z41" s="99"/>
      <c r="AA41" s="114"/>
      <c r="AB41" s="144"/>
      <c r="AC41" s="96"/>
      <c r="AD41" s="96"/>
      <c r="AE41" s="96"/>
      <c r="AF41" s="101"/>
      <c r="AG41" s="101"/>
      <c r="AH41" s="101"/>
      <c r="AI41" s="101"/>
      <c r="AJ41" s="101"/>
      <c r="AK41" s="101"/>
      <c r="AL41" s="101"/>
      <c r="AM41" s="101"/>
      <c r="AN41" s="101"/>
    </row>
    <row r="42" spans="1:57" ht="15" customHeight="1" x14ac:dyDescent="0.25">
      <c r="X42" s="146"/>
      <c r="Y42" s="143"/>
      <c r="Z42" s="138"/>
      <c r="AA42" s="74"/>
      <c r="AB42" s="139"/>
      <c r="AC42" s="139"/>
      <c r="AD42" s="139"/>
      <c r="AE42" s="139"/>
      <c r="AF42" s="101"/>
      <c r="AG42" s="101"/>
      <c r="AH42" s="101"/>
      <c r="AI42" s="101"/>
      <c r="AJ42" s="101"/>
      <c r="AK42" s="101"/>
      <c r="AL42" s="101"/>
      <c r="AM42" s="101"/>
      <c r="AN42" s="101"/>
    </row>
    <row r="43" spans="1:57" x14ac:dyDescent="0.25">
      <c r="A43" t="s">
        <v>219</v>
      </c>
      <c r="X43" s="61" t="s">
        <v>256</v>
      </c>
      <c r="Y43" s="61"/>
      <c r="Z43" s="61"/>
      <c r="AA43" s="61"/>
      <c r="AB43" s="61"/>
      <c r="AC43" s="61"/>
      <c r="AD43" s="61"/>
    </row>
    <row r="45" spans="1:57" ht="15" customHeight="1" x14ac:dyDescent="0.25">
      <c r="F45" s="214" t="s">
        <v>177</v>
      </c>
      <c r="G45" s="215"/>
      <c r="H45" s="216"/>
      <c r="I45" s="7" t="s">
        <v>178</v>
      </c>
      <c r="J45" s="7" t="s">
        <v>179</v>
      </c>
      <c r="K45" s="7" t="s">
        <v>180</v>
      </c>
      <c r="L45" s="7" t="s">
        <v>114</v>
      </c>
      <c r="M45" s="7" t="s">
        <v>181</v>
      </c>
      <c r="N45" s="7" t="s">
        <v>182</v>
      </c>
      <c r="O45" s="7" t="s">
        <v>183</v>
      </c>
      <c r="P45" s="7" t="s">
        <v>184</v>
      </c>
      <c r="Q45" s="7" t="s">
        <v>185</v>
      </c>
      <c r="R45" s="7" t="s">
        <v>186</v>
      </c>
      <c r="S45" s="7" t="s">
        <v>187</v>
      </c>
      <c r="T45" s="7" t="s">
        <v>188</v>
      </c>
      <c r="U45" s="7" t="s">
        <v>189</v>
      </c>
      <c r="V45" s="7" t="s">
        <v>190</v>
      </c>
      <c r="X45" s="222" t="s">
        <v>177</v>
      </c>
      <c r="Y45" s="223"/>
      <c r="Z45" s="224"/>
      <c r="AA45" s="76" t="s">
        <v>178</v>
      </c>
      <c r="AB45" s="76" t="s">
        <v>180</v>
      </c>
      <c r="AC45" s="76" t="s">
        <v>114</v>
      </c>
      <c r="AD45" s="76" t="s">
        <v>182</v>
      </c>
      <c r="AE45" s="76" t="s">
        <v>183</v>
      </c>
      <c r="AF45" s="89" t="s">
        <v>185</v>
      </c>
      <c r="AG45" s="222" t="s">
        <v>152</v>
      </c>
      <c r="AH45" s="223"/>
      <c r="AI45" s="222" t="s">
        <v>152</v>
      </c>
      <c r="AJ45" s="224"/>
      <c r="AK45" s="76" t="s">
        <v>236</v>
      </c>
      <c r="AL45" s="104" t="s">
        <v>238</v>
      </c>
      <c r="AM45" s="76" t="s">
        <v>239</v>
      </c>
      <c r="AN45" s="104" t="s">
        <v>240</v>
      </c>
      <c r="AO45" s="76" t="s">
        <v>241</v>
      </c>
      <c r="AP45" s="76" t="s">
        <v>242</v>
      </c>
      <c r="AQ45" s="76" t="s">
        <v>243</v>
      </c>
      <c r="AR45" s="76" t="s">
        <v>244</v>
      </c>
      <c r="AS45" s="89" t="s">
        <v>245</v>
      </c>
      <c r="AT45" s="89" t="s">
        <v>246</v>
      </c>
      <c r="AU45" s="89" t="s">
        <v>247</v>
      </c>
      <c r="AV45" s="89" t="s">
        <v>248</v>
      </c>
      <c r="AW45" s="236" t="s">
        <v>249</v>
      </c>
      <c r="AX45" s="156" t="s">
        <v>188</v>
      </c>
      <c r="AY45" s="111" t="s">
        <v>189</v>
      </c>
      <c r="BC45" s="96"/>
      <c r="BD45" s="96"/>
      <c r="BE45" s="101"/>
    </row>
    <row r="46" spans="1:57" ht="15" customHeight="1" x14ac:dyDescent="0.25">
      <c r="F46" s="214" t="s">
        <v>17</v>
      </c>
      <c r="G46" s="215"/>
      <c r="H46" s="216"/>
      <c r="I46" s="7" t="s">
        <v>17</v>
      </c>
      <c r="J46" s="7" t="s">
        <v>17</v>
      </c>
      <c r="K46" s="7" t="s">
        <v>17</v>
      </c>
      <c r="L46" s="7" t="s">
        <v>17</v>
      </c>
      <c r="M46" s="7" t="s">
        <v>17</v>
      </c>
      <c r="N46" s="7" t="s">
        <v>17</v>
      </c>
      <c r="O46" s="7" t="s">
        <v>192</v>
      </c>
      <c r="P46" s="7" t="s">
        <v>155</v>
      </c>
      <c r="Q46" s="7" t="s">
        <v>155</v>
      </c>
      <c r="R46" s="7" t="s">
        <v>155</v>
      </c>
      <c r="S46" s="7" t="s">
        <v>193</v>
      </c>
      <c r="T46" s="7" t="s">
        <v>194</v>
      </c>
      <c r="U46" s="7" t="s">
        <v>194</v>
      </c>
      <c r="V46" s="7"/>
      <c r="X46" s="225" t="s">
        <v>17</v>
      </c>
      <c r="Y46" s="226"/>
      <c r="Z46" s="227"/>
      <c r="AA46" s="77" t="s">
        <v>17</v>
      </c>
      <c r="AB46" s="77" t="s">
        <v>17</v>
      </c>
      <c r="AC46" s="77" t="s">
        <v>17</v>
      </c>
      <c r="AD46" s="77" t="s">
        <v>17</v>
      </c>
      <c r="AE46" s="84" t="s">
        <v>192</v>
      </c>
      <c r="AF46" s="90" t="s">
        <v>155</v>
      </c>
      <c r="AG46" s="225" t="s">
        <v>155</v>
      </c>
      <c r="AH46" s="226"/>
      <c r="AI46" s="228" t="s">
        <v>155</v>
      </c>
      <c r="AJ46" s="229"/>
      <c r="AK46" s="84" t="s">
        <v>17</v>
      </c>
      <c r="AL46" s="105" t="s">
        <v>17</v>
      </c>
      <c r="AM46" s="84" t="s">
        <v>17</v>
      </c>
      <c r="AN46" s="105" t="s">
        <v>155</v>
      </c>
      <c r="AO46" s="84" t="s">
        <v>155</v>
      </c>
      <c r="AP46" s="84" t="s">
        <v>155</v>
      </c>
      <c r="AQ46" s="84" t="s">
        <v>155</v>
      </c>
      <c r="AR46" s="84" t="s">
        <v>194</v>
      </c>
      <c r="AS46" s="108" t="s">
        <v>193</v>
      </c>
      <c r="AT46" s="108" t="s">
        <v>193</v>
      </c>
      <c r="AU46" s="108" t="s">
        <v>193</v>
      </c>
      <c r="AV46" s="108" t="s">
        <v>193</v>
      </c>
      <c r="AW46" s="237"/>
      <c r="AX46" s="157" t="s">
        <v>250</v>
      </c>
      <c r="AY46" s="112" t="s">
        <v>250</v>
      </c>
      <c r="BC46" s="139"/>
      <c r="BD46" s="139"/>
      <c r="BE46" s="101"/>
    </row>
    <row r="47" spans="1:57" ht="15" customHeight="1" x14ac:dyDescent="0.25">
      <c r="F47" s="209">
        <v>2</v>
      </c>
      <c r="G47" s="29" t="s">
        <v>220</v>
      </c>
      <c r="H47" s="47"/>
      <c r="I47" s="49"/>
      <c r="J47" s="29"/>
      <c r="K47" s="29"/>
      <c r="L47" s="29"/>
      <c r="M47" s="29"/>
      <c r="N47" s="29"/>
      <c r="O47" s="29"/>
      <c r="P47" s="29" t="s">
        <v>221</v>
      </c>
      <c r="Q47" s="29"/>
      <c r="R47" s="29"/>
      <c r="S47" s="29"/>
      <c r="T47" s="29"/>
      <c r="U47" s="29"/>
      <c r="V47" s="32"/>
      <c r="X47" s="230">
        <v>4</v>
      </c>
      <c r="Y47" s="133" t="str">
        <f>G53</f>
        <v>(A-B)</v>
      </c>
      <c r="Z47" s="134"/>
      <c r="AA47" s="115"/>
      <c r="AB47" s="115"/>
      <c r="AC47" s="115"/>
      <c r="AD47" s="116"/>
      <c r="AE47" s="117"/>
      <c r="AF47" s="118"/>
      <c r="AG47" s="119" t="s">
        <v>257</v>
      </c>
      <c r="AH47" s="96" t="s">
        <v>252</v>
      </c>
      <c r="AI47" s="120"/>
      <c r="AJ47" s="121"/>
      <c r="AK47" s="54"/>
      <c r="AL47" s="122"/>
      <c r="AM47" s="123"/>
      <c r="AN47" s="124"/>
      <c r="AO47" s="124"/>
      <c r="AP47" s="124"/>
      <c r="AQ47" s="124"/>
      <c r="AR47" s="125"/>
      <c r="AS47" s="126"/>
      <c r="AT47" s="126"/>
      <c r="AU47" s="126"/>
      <c r="AV47" s="126"/>
      <c r="AW47" s="237"/>
      <c r="AX47" s="83"/>
      <c r="AY47" s="135"/>
      <c r="BC47" s="96"/>
      <c r="BD47" s="96"/>
      <c r="BE47" s="101"/>
    </row>
    <row r="48" spans="1:57" ht="15" customHeight="1" x14ac:dyDescent="0.25">
      <c r="F48" s="210"/>
      <c r="G48" s="57" t="s">
        <v>198</v>
      </c>
      <c r="H48" s="48">
        <v>3</v>
      </c>
      <c r="I48" s="58">
        <f>H48/12</f>
        <v>0.25</v>
      </c>
      <c r="J48" s="57">
        <v>0.2</v>
      </c>
      <c r="K48" s="59">
        <f>MAX(I48:J48)</f>
        <v>0.25</v>
      </c>
      <c r="L48" s="57">
        <f>K48/2</f>
        <v>0.125</v>
      </c>
      <c r="M48" s="57">
        <v>0.15</v>
      </c>
      <c r="N48" s="59">
        <f>MAX(L48:M48)</f>
        <v>0.15</v>
      </c>
      <c r="O48" s="57">
        <f>1.2*C$19*K48*N48</f>
        <v>1.0799999999999998</v>
      </c>
      <c r="P48" s="34">
        <f>K5</f>
        <v>0</v>
      </c>
      <c r="Q48" s="57"/>
      <c r="R48" s="34">
        <f>SUM(O48:Q48)</f>
        <v>1.0799999999999998</v>
      </c>
      <c r="S48" s="34">
        <f>1/12*R48*(H48)^2</f>
        <v>0.80999999999999983</v>
      </c>
      <c r="T48" s="34">
        <f>1/2*R48*H48</f>
        <v>1.6199999999999997</v>
      </c>
      <c r="U48" s="34">
        <f>1/2*R48*H48</f>
        <v>1.6199999999999997</v>
      </c>
      <c r="V48" s="31"/>
      <c r="X48" s="231"/>
      <c r="Y48" s="147" t="str">
        <f>G54</f>
        <v>L:</v>
      </c>
      <c r="Z48" s="130">
        <f>H54</f>
        <v>3</v>
      </c>
      <c r="AA48" s="149">
        <f>I54</f>
        <v>0.25</v>
      </c>
      <c r="AB48" s="149">
        <f>K54</f>
        <v>0.25</v>
      </c>
      <c r="AC48" s="149">
        <f>L54</f>
        <v>0.125</v>
      </c>
      <c r="AD48" s="148">
        <f>N54</f>
        <v>0.15</v>
      </c>
      <c r="AE48" s="148">
        <f>1.2*AB48*AD48*C$19</f>
        <v>1.08</v>
      </c>
      <c r="AF48" s="149">
        <f>1.2*C$21*C$22*C$23</f>
        <v>10.71</v>
      </c>
      <c r="AG48" s="150">
        <f>J6</f>
        <v>6.3239999999999998</v>
      </c>
      <c r="AH48" s="151">
        <f>J8</f>
        <v>3.6363000000000003</v>
      </c>
      <c r="AI48" s="232"/>
      <c r="AJ48" s="233"/>
      <c r="AK48" s="36">
        <v>1.2749999999999999</v>
      </c>
      <c r="AL48" s="130">
        <v>1.7250000000000001</v>
      </c>
      <c r="AM48" s="36">
        <f>SUM(AK48:AL48)</f>
        <v>3</v>
      </c>
      <c r="AN48" s="150">
        <f>AE48+AF48+AG48</f>
        <v>18.114000000000001</v>
      </c>
      <c r="AO48" s="150">
        <f>AN48*AK48</f>
        <v>23.09535</v>
      </c>
      <c r="AP48" s="150">
        <f>AE48+AF48+AG48+AH48</f>
        <v>21.750300000000003</v>
      </c>
      <c r="AQ48" s="150">
        <f>AP48*AL48</f>
        <v>37.519267500000005</v>
      </c>
      <c r="AR48" s="149">
        <f>T26</f>
        <v>13.568891250000002</v>
      </c>
      <c r="AS48" s="148">
        <f>(AN48*AK48*AM48*AK48/AM48)*((3*(AK48/AM48)^2)-(8*AK48/AM48)+6)/12</f>
        <v>7.7097871705078127</v>
      </c>
      <c r="AT48" s="148">
        <f>(AP48*AL48*AM48*AL48/AM48)*((3*(AL48/AM48)^2)-(8*AL48/AM48)+6)/12</f>
        <v>12.900325955537111</v>
      </c>
      <c r="AU48" s="152"/>
      <c r="AV48" s="148">
        <f>MAX(AS48:AU48)</f>
        <v>12.900325955537111</v>
      </c>
      <c r="AW48" s="237"/>
      <c r="AX48" s="129">
        <f>AF64</f>
        <v>31.585951214970692</v>
      </c>
      <c r="AY48" s="132">
        <f>AM64</f>
        <v>42.597557535029303</v>
      </c>
      <c r="BC48" s="139"/>
      <c r="BD48" s="139"/>
      <c r="BE48" s="101"/>
    </row>
    <row r="49" spans="6:57" ht="15" customHeight="1" x14ac:dyDescent="0.25">
      <c r="F49" s="209">
        <v>3</v>
      </c>
      <c r="G49" s="29" t="s">
        <v>220</v>
      </c>
      <c r="H49" s="47"/>
      <c r="I49" s="49"/>
      <c r="J49" s="29"/>
      <c r="K49" s="29"/>
      <c r="L49" s="29"/>
      <c r="M49" s="29"/>
      <c r="N49" s="29"/>
      <c r="O49" s="29"/>
      <c r="P49" s="29" t="s">
        <v>222</v>
      </c>
      <c r="Q49" s="29"/>
      <c r="R49" s="29"/>
      <c r="S49" s="29"/>
      <c r="T49" s="29"/>
      <c r="U49" s="29"/>
      <c r="V49" s="32"/>
      <c r="X49" s="230">
        <v>7</v>
      </c>
      <c r="Y49" s="133" t="str">
        <f>G59</f>
        <v>(A-B)</v>
      </c>
      <c r="Z49" s="134"/>
      <c r="AA49" s="115"/>
      <c r="AB49" s="115"/>
      <c r="AC49" s="115"/>
      <c r="AD49" s="116"/>
      <c r="AE49" s="117"/>
      <c r="AF49" s="118"/>
      <c r="AG49" s="119" t="s">
        <v>252</v>
      </c>
      <c r="AH49" s="96"/>
      <c r="AI49" s="120"/>
      <c r="AJ49" s="121"/>
      <c r="AK49" s="54"/>
      <c r="AL49" s="122"/>
      <c r="AM49" s="123"/>
      <c r="AN49" s="124"/>
      <c r="AO49" s="124"/>
      <c r="AP49" s="124"/>
      <c r="AQ49" s="124"/>
      <c r="AR49" s="125"/>
      <c r="AS49" s="126"/>
      <c r="AT49" s="126"/>
      <c r="AU49" s="126"/>
      <c r="AV49" s="126"/>
      <c r="AW49" s="237"/>
      <c r="AX49" s="158"/>
      <c r="AY49" s="136"/>
      <c r="BC49" s="96"/>
      <c r="BD49" s="96"/>
      <c r="BE49" s="101"/>
    </row>
    <row r="50" spans="6:57" ht="15" customHeight="1" x14ac:dyDescent="0.25">
      <c r="F50" s="211"/>
      <c r="G50" s="57" t="s">
        <v>198</v>
      </c>
      <c r="H50" s="48">
        <v>3</v>
      </c>
      <c r="I50" s="58">
        <f>H50/12</f>
        <v>0.25</v>
      </c>
      <c r="J50" s="57">
        <v>0.2</v>
      </c>
      <c r="K50" s="59">
        <f>MAX(I50:J50)</f>
        <v>0.25</v>
      </c>
      <c r="L50" s="57">
        <f>K50/2</f>
        <v>0.125</v>
      </c>
      <c r="M50" s="57">
        <v>0.15</v>
      </c>
      <c r="N50" s="59">
        <f>MAX(L50:M50)</f>
        <v>0.15</v>
      </c>
      <c r="O50" s="57">
        <f>1.2*C$19*K50*N50</f>
        <v>1.0799999999999998</v>
      </c>
      <c r="P50" s="34">
        <f>K5+J6</f>
        <v>6.3239999999999998</v>
      </c>
      <c r="Q50" s="57">
        <f>1.2*C$22*C$23*C$21</f>
        <v>10.71</v>
      </c>
      <c r="R50" s="34">
        <f>SUM(O50:Q50)</f>
        <v>18.114000000000001</v>
      </c>
      <c r="S50" s="34">
        <f>1/12*R50*(H50)^2</f>
        <v>13.5855</v>
      </c>
      <c r="T50" s="34">
        <f>1/2*R50*H50</f>
        <v>27.170999999999999</v>
      </c>
      <c r="U50" s="34">
        <f>1/2*R50*H50</f>
        <v>27.170999999999999</v>
      </c>
      <c r="V50" s="31"/>
      <c r="X50" s="250"/>
      <c r="Y50" s="147" t="str">
        <f>G60</f>
        <v>L:</v>
      </c>
      <c r="Z50" s="130">
        <f>H60</f>
        <v>3</v>
      </c>
      <c r="AA50" s="137">
        <f>I60</f>
        <v>0.25</v>
      </c>
      <c r="AB50" s="137">
        <f>K60</f>
        <v>0.25</v>
      </c>
      <c r="AC50" s="137">
        <f>L60</f>
        <v>0.125</v>
      </c>
      <c r="AD50" s="148">
        <f>N62</f>
        <v>0.15</v>
      </c>
      <c r="AE50" s="148">
        <f>1.2*AB50*AD50*C$19</f>
        <v>1.08</v>
      </c>
      <c r="AF50" s="149">
        <f>1.2*C$21*C$22*C$23</f>
        <v>10.71</v>
      </c>
      <c r="AG50" s="150">
        <f>J8</f>
        <v>3.6363000000000003</v>
      </c>
      <c r="AH50" s="151"/>
      <c r="AI50" s="239"/>
      <c r="AJ50" s="240"/>
      <c r="AK50" s="36">
        <v>1.2749999999999999</v>
      </c>
      <c r="AL50" s="130">
        <v>1.7250000000000001</v>
      </c>
      <c r="AM50" s="131">
        <f>SUM(AK50:AL50)</f>
        <v>3</v>
      </c>
      <c r="AN50" s="150">
        <f>AE50+AF50</f>
        <v>11.790000000000001</v>
      </c>
      <c r="AO50" s="150">
        <f>AN50*AK50</f>
        <v>15.032249999999999</v>
      </c>
      <c r="AP50" s="150">
        <f>AE50+AF50+AG50</f>
        <v>15.426300000000001</v>
      </c>
      <c r="AQ50" s="150">
        <f>AP50*AL50</f>
        <v>26.610367500000002</v>
      </c>
      <c r="AR50" s="149">
        <f>T26</f>
        <v>13.568891250000002</v>
      </c>
      <c r="AS50" s="148">
        <f>(AN50*AK50*AM50*AK50/AM50)*((3*(AK50/AM50)^2)-(8*AK50/AM50)+6)/12</f>
        <v>5.0181291123046874</v>
      </c>
      <c r="AT50" s="148">
        <f>(AP50*AL50*AM50*AL50/AM50)*((3*(AL50/AM50)^2)-(8*AL50/AM50)+6)/12</f>
        <v>9.1494967098339846</v>
      </c>
      <c r="AU50" s="152"/>
      <c r="AV50" s="148">
        <f>MAX(AS50:AU50)</f>
        <v>9.1494967098339846</v>
      </c>
      <c r="AW50" s="237"/>
      <c r="AX50" s="128">
        <f>AF66</f>
        <v>23.1591224024707</v>
      </c>
      <c r="AY50" s="132">
        <f>AM66</f>
        <v>32.0523863475293</v>
      </c>
      <c r="BC50" s="139"/>
      <c r="BD50" s="139"/>
      <c r="BE50" s="101"/>
    </row>
    <row r="51" spans="6:57" ht="15" customHeight="1" x14ac:dyDescent="0.25">
      <c r="F51" s="211"/>
      <c r="G51" s="29" t="s">
        <v>223</v>
      </c>
      <c r="H51" s="47"/>
      <c r="I51" s="49"/>
      <c r="J51" s="29"/>
      <c r="K51" s="29"/>
      <c r="L51" s="29"/>
      <c r="M51" s="29"/>
      <c r="N51" s="29"/>
      <c r="O51" s="29"/>
      <c r="P51" s="29" t="s">
        <v>224</v>
      </c>
      <c r="Q51" s="29"/>
      <c r="R51" s="29"/>
      <c r="S51" s="29"/>
      <c r="T51" s="29"/>
      <c r="U51" s="29"/>
      <c r="V51" s="32"/>
      <c r="X51" s="250"/>
      <c r="Y51" s="163" t="str">
        <f>G61</f>
        <v>(B-D)</v>
      </c>
      <c r="Z51" s="164"/>
      <c r="AA51" s="169"/>
      <c r="AB51" s="169"/>
      <c r="AC51" s="169"/>
      <c r="AD51" s="170"/>
      <c r="AE51" s="171"/>
      <c r="AF51" s="172"/>
      <c r="AG51" s="173" t="s">
        <v>261</v>
      </c>
      <c r="AH51" s="174"/>
      <c r="AI51" s="175" t="s">
        <v>251</v>
      </c>
      <c r="AJ51" s="176"/>
      <c r="AK51" s="177"/>
      <c r="AL51" s="178"/>
      <c r="AM51" s="177"/>
      <c r="AN51" s="179"/>
      <c r="AO51" s="179"/>
      <c r="AP51" s="179"/>
      <c r="AQ51" s="179"/>
      <c r="AR51" s="180"/>
      <c r="AS51" s="181"/>
      <c r="AT51" s="181"/>
      <c r="AU51" s="181"/>
      <c r="AV51" s="181"/>
      <c r="AW51" s="237"/>
      <c r="AX51" s="32"/>
      <c r="AY51" s="32"/>
      <c r="BC51" s="96"/>
      <c r="BD51" s="96"/>
      <c r="BE51" s="101"/>
    </row>
    <row r="52" spans="6:57" ht="15" customHeight="1" x14ac:dyDescent="0.25">
      <c r="F52" s="210"/>
      <c r="G52" s="57" t="s">
        <v>198</v>
      </c>
      <c r="H52" s="48">
        <v>3.5</v>
      </c>
      <c r="I52" s="58">
        <v>0.3</v>
      </c>
      <c r="J52" s="57">
        <v>0.2</v>
      </c>
      <c r="K52" s="59">
        <f>MAX(I52:J52)</f>
        <v>0.3</v>
      </c>
      <c r="L52" s="57">
        <f>K52/2</f>
        <v>0.15</v>
      </c>
      <c r="M52" s="57">
        <v>0.15</v>
      </c>
      <c r="N52" s="59">
        <f>MAX(L52:M52)</f>
        <v>0.15</v>
      </c>
      <c r="O52" s="57">
        <f>1.2*C$19*K52*N52</f>
        <v>1.2959999999999998</v>
      </c>
      <c r="P52" s="34">
        <f>J7</f>
        <v>7.3780000000000001</v>
      </c>
      <c r="Q52" s="57">
        <f>1.2*C$22*C$23*C$21</f>
        <v>10.71</v>
      </c>
      <c r="R52" s="34">
        <f>SUM(O52:Q52)</f>
        <v>19.384</v>
      </c>
      <c r="S52" s="34">
        <f>1/12*R52*(H52)^2</f>
        <v>19.787833333333332</v>
      </c>
      <c r="T52" s="34">
        <f>1/2*R52*H52</f>
        <v>33.921999999999997</v>
      </c>
      <c r="U52" s="34">
        <f>1/2*R52*H52</f>
        <v>33.921999999999997</v>
      </c>
      <c r="V52" s="31"/>
      <c r="X52" s="231"/>
      <c r="Y52" s="165" t="str">
        <f>G62</f>
        <v>L:</v>
      </c>
      <c r="Z52" s="166">
        <f>H62</f>
        <v>3.5</v>
      </c>
      <c r="AA52" s="182">
        <f>I62</f>
        <v>0.3</v>
      </c>
      <c r="AB52" s="182">
        <f>K62</f>
        <v>0.3</v>
      </c>
      <c r="AC52" s="182">
        <f>L62</f>
        <v>0.15</v>
      </c>
      <c r="AD52" s="183">
        <f>N64</f>
        <v>0.15</v>
      </c>
      <c r="AE52" s="183">
        <f>1.2*AB52*AD52*C$19</f>
        <v>1.296</v>
      </c>
      <c r="AF52" s="182">
        <f>1.2*C$21*C$22*C$23</f>
        <v>10.71</v>
      </c>
      <c r="AG52" s="184">
        <f>J10</f>
        <v>4.2160000000000002</v>
      </c>
      <c r="AH52" s="185"/>
      <c r="AI52" s="248">
        <f>K9</f>
        <v>1.8444999999999994</v>
      </c>
      <c r="AJ52" s="249"/>
      <c r="AK52" s="186">
        <v>1.5</v>
      </c>
      <c r="AL52" s="166">
        <v>2</v>
      </c>
      <c r="AM52" s="186">
        <f>SUM(AK52:AL52)</f>
        <v>3.5</v>
      </c>
      <c r="AN52" s="184">
        <f>AE52+AF52+AI52</f>
        <v>13.8505</v>
      </c>
      <c r="AO52" s="184">
        <f>AN52*AK52</f>
        <v>20.775750000000002</v>
      </c>
      <c r="AP52" s="184">
        <f>AE52+AG52+AI52</f>
        <v>7.3564999999999996</v>
      </c>
      <c r="AQ52" s="184">
        <f>AP52*AL52</f>
        <v>14.712999999999999</v>
      </c>
      <c r="AR52" s="182">
        <f>T34</f>
        <v>11.498999999999999</v>
      </c>
      <c r="AS52" s="183">
        <f>AT102</f>
        <v>18.545310586734693</v>
      </c>
      <c r="AT52" s="256">
        <f>AT104</f>
        <v>14.104292304421769</v>
      </c>
      <c r="AU52" s="187">
        <f>AD110</f>
        <v>8.4237329628279873</v>
      </c>
      <c r="AV52" s="192">
        <f>AS52</f>
        <v>18.545310586734693</v>
      </c>
      <c r="AW52" s="238"/>
      <c r="AX52" s="128">
        <f>AC96</f>
        <v>28.367237366375122</v>
      </c>
      <c r="AY52" s="132">
        <f>AF96</f>
        <v>18.62051263362488</v>
      </c>
      <c r="BC52" s="139"/>
      <c r="BD52" s="139"/>
      <c r="BE52" s="101"/>
    </row>
    <row r="53" spans="6:57" x14ac:dyDescent="0.25">
      <c r="F53" s="209">
        <v>4</v>
      </c>
      <c r="G53" s="29" t="s">
        <v>220</v>
      </c>
      <c r="H53" s="47"/>
      <c r="I53" s="4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38"/>
      <c r="X53" s="70"/>
      <c r="Y53" s="74"/>
      <c r="Z53" s="78"/>
      <c r="AA53" s="78"/>
      <c r="AB53" s="78"/>
      <c r="AC53" s="78"/>
      <c r="AD53" s="86"/>
      <c r="AE53" s="92"/>
      <c r="AF53" s="99"/>
      <c r="AG53" s="99"/>
      <c r="AH53" s="96"/>
      <c r="AI53" s="96"/>
      <c r="AJ53" s="101"/>
      <c r="AK53" s="101"/>
      <c r="AL53" s="78"/>
      <c r="AM53" s="78"/>
      <c r="AN53" s="78"/>
      <c r="AP53" s="106"/>
      <c r="AQ53" s="107"/>
      <c r="AR53" s="78"/>
      <c r="AS53" s="78"/>
      <c r="AT53" s="78"/>
      <c r="AU53" s="99"/>
      <c r="AV53" s="109"/>
      <c r="AW53" s="113"/>
    </row>
    <row r="54" spans="6:57" x14ac:dyDescent="0.25">
      <c r="F54" s="211"/>
      <c r="G54" s="57" t="s">
        <v>198</v>
      </c>
      <c r="H54" s="48">
        <v>3</v>
      </c>
      <c r="I54" s="58">
        <f>H54/12</f>
        <v>0.25</v>
      </c>
      <c r="J54" s="57">
        <v>0.2</v>
      </c>
      <c r="K54" s="59">
        <f>MAX(I54:J54)</f>
        <v>0.25</v>
      </c>
      <c r="L54" s="57">
        <f>K54/2</f>
        <v>0.125</v>
      </c>
      <c r="M54" s="57">
        <v>0.15</v>
      </c>
      <c r="N54" s="59">
        <f>MAX(L54:M54)</f>
        <v>0.15</v>
      </c>
      <c r="O54" s="57"/>
      <c r="P54" s="34"/>
      <c r="Q54" s="57"/>
      <c r="R54" s="34"/>
      <c r="S54" s="34"/>
      <c r="T54" s="34"/>
      <c r="U54" s="34"/>
      <c r="V54" s="39"/>
      <c r="X54" s="70"/>
      <c r="Y54" s="74"/>
      <c r="Z54" s="78"/>
      <c r="AA54" s="78"/>
      <c r="AB54" s="78"/>
      <c r="AC54" s="78"/>
      <c r="AD54" s="86"/>
      <c r="AE54" s="92"/>
      <c r="AF54" s="99"/>
      <c r="AG54" s="99"/>
      <c r="AH54" s="96"/>
      <c r="AI54" s="96"/>
      <c r="AJ54" s="101"/>
      <c r="AK54" s="101"/>
      <c r="AL54" s="78"/>
      <c r="AM54" s="78"/>
      <c r="AN54" s="78"/>
      <c r="AW54" s="113"/>
    </row>
    <row r="55" spans="6:57" x14ac:dyDescent="0.25">
      <c r="F55" s="211"/>
      <c r="G55" s="29" t="s">
        <v>223</v>
      </c>
      <c r="H55" s="47"/>
      <c r="I55" s="49"/>
      <c r="J55" s="29"/>
      <c r="K55" s="29"/>
      <c r="L55" s="29"/>
      <c r="M55" s="29"/>
      <c r="N55" s="29"/>
      <c r="O55" s="29"/>
      <c r="P55" s="29" t="s">
        <v>225</v>
      </c>
      <c r="Q55" s="29"/>
      <c r="R55" s="29"/>
      <c r="S55" s="29"/>
      <c r="T55" s="29"/>
      <c r="U55" s="29"/>
      <c r="V55" s="32"/>
      <c r="X55" s="70"/>
      <c r="Y55" s="74"/>
      <c r="Z55" s="78"/>
      <c r="AA55" s="78"/>
      <c r="AB55" s="78"/>
      <c r="AC55" s="78"/>
      <c r="AD55" s="86"/>
      <c r="AE55" s="92"/>
      <c r="AF55" s="99"/>
      <c r="AG55" s="99"/>
      <c r="AH55" s="96"/>
      <c r="AI55" s="96"/>
      <c r="AJ55" s="101"/>
      <c r="AK55" s="101"/>
      <c r="AL55" s="78"/>
      <c r="AM55" s="78"/>
      <c r="AN55" s="78"/>
      <c r="AO55" s="101"/>
      <c r="AP55" s="141"/>
      <c r="AQ55" s="141"/>
      <c r="AR55" s="141"/>
      <c r="AS55" s="141"/>
      <c r="AT55" s="141"/>
      <c r="AU55" s="141"/>
      <c r="AV55" s="141"/>
    </row>
    <row r="56" spans="6:57" x14ac:dyDescent="0.25">
      <c r="F56" s="210"/>
      <c r="G56" s="57" t="s">
        <v>198</v>
      </c>
      <c r="H56" s="48">
        <v>3.5</v>
      </c>
      <c r="I56" s="58">
        <v>0.3</v>
      </c>
      <c r="J56" s="57">
        <v>0.2</v>
      </c>
      <c r="K56" s="59">
        <f>MAX(I56:J56)</f>
        <v>0.3</v>
      </c>
      <c r="L56" s="57">
        <f>K56/2</f>
        <v>0.15</v>
      </c>
      <c r="M56" s="57">
        <v>0.15</v>
      </c>
      <c r="N56" s="59">
        <f>MAX(L56:M56)</f>
        <v>0.15</v>
      </c>
      <c r="O56" s="57">
        <f>1.2*C$19*K56*N56</f>
        <v>1.2959999999999998</v>
      </c>
      <c r="P56" s="34">
        <f>J7+K9</f>
        <v>9.2225000000000001</v>
      </c>
      <c r="Q56" s="57">
        <f>1.2*C$22*C$23*C$21</f>
        <v>10.71</v>
      </c>
      <c r="R56" s="34">
        <f>SUM(O56:Q56)</f>
        <v>21.2285</v>
      </c>
      <c r="S56" s="34">
        <f>1/12*R56*(H56)^2</f>
        <v>21.670760416666667</v>
      </c>
      <c r="T56" s="34">
        <f>1/2*R56*H56</f>
        <v>37.149875000000002</v>
      </c>
      <c r="U56" s="34">
        <f>1/2*R56*H56</f>
        <v>37.149875000000002</v>
      </c>
      <c r="V56" s="31"/>
      <c r="X56" s="70"/>
      <c r="Y56" s="74"/>
      <c r="Z56" s="78"/>
      <c r="AA56" s="78"/>
      <c r="AB56" s="78"/>
      <c r="AC56" s="78"/>
      <c r="AD56" s="86"/>
      <c r="AE56" s="92"/>
      <c r="AF56" s="99"/>
      <c r="AG56" s="99"/>
      <c r="AH56" s="96"/>
      <c r="AI56" s="96"/>
      <c r="AJ56" s="101"/>
      <c r="AK56" s="101"/>
      <c r="AL56" s="78"/>
      <c r="AM56" s="78"/>
      <c r="AN56" s="78"/>
      <c r="AO56" s="101"/>
      <c r="AP56" s="141"/>
      <c r="AQ56" s="141"/>
      <c r="AR56" s="141"/>
      <c r="AS56" s="141"/>
      <c r="AT56" s="141"/>
      <c r="AU56" s="141"/>
      <c r="AV56" s="141"/>
    </row>
    <row r="57" spans="6:57" ht="15.75" x14ac:dyDescent="0.25">
      <c r="F57" s="209">
        <v>5</v>
      </c>
      <c r="G57" s="55" t="s">
        <v>220</v>
      </c>
      <c r="H57" s="47"/>
      <c r="I57" s="49"/>
      <c r="J57" s="55"/>
      <c r="K57" s="55"/>
      <c r="L57" s="55"/>
      <c r="M57" s="55"/>
      <c r="N57" s="55"/>
      <c r="O57" s="55"/>
      <c r="P57" s="55" t="s">
        <v>226</v>
      </c>
      <c r="Q57" s="55"/>
      <c r="R57" s="53"/>
      <c r="S57" s="53"/>
      <c r="T57" s="53"/>
      <c r="U57" s="53"/>
      <c r="V57" s="40"/>
      <c r="X57" s="70"/>
      <c r="Y57" s="74"/>
      <c r="Z57" s="78"/>
      <c r="AA57" s="78"/>
      <c r="AB57" s="78"/>
      <c r="AC57" s="78"/>
      <c r="AD57" s="86"/>
      <c r="AE57" s="92"/>
      <c r="AF57" s="99"/>
      <c r="AG57" s="99"/>
      <c r="AH57" s="96"/>
      <c r="AI57" s="96"/>
      <c r="AJ57" s="101"/>
      <c r="AK57" s="101"/>
      <c r="AL57" s="78"/>
      <c r="AM57" s="78"/>
      <c r="AN57" s="78"/>
      <c r="AO57" s="101"/>
      <c r="AP57" s="143"/>
      <c r="AQ57" s="99"/>
      <c r="AR57" s="114"/>
      <c r="AS57" s="96"/>
      <c r="AT57" s="96"/>
      <c r="AU57" s="96"/>
      <c r="AV57" s="96"/>
      <c r="AW57" s="109"/>
    </row>
    <row r="58" spans="6:57" ht="15.75" x14ac:dyDescent="0.25">
      <c r="F58" s="210"/>
      <c r="G58" s="59" t="s">
        <v>198</v>
      </c>
      <c r="H58" s="48">
        <v>3.5</v>
      </c>
      <c r="I58" s="58">
        <v>0.25</v>
      </c>
      <c r="J58" s="59">
        <v>0.2</v>
      </c>
      <c r="K58" s="59">
        <f>MAX(I58:J58)</f>
        <v>0.25</v>
      </c>
      <c r="L58" s="59">
        <f>K58/2</f>
        <v>0.125</v>
      </c>
      <c r="M58" s="59">
        <f>0.15</f>
        <v>0.15</v>
      </c>
      <c r="N58" s="59">
        <f>MAX(L58:M58)</f>
        <v>0.15</v>
      </c>
      <c r="O58" s="57">
        <f>1.2*C$19*K58*N58</f>
        <v>1.0799999999999998</v>
      </c>
      <c r="P58" s="37">
        <f>K9+K9</f>
        <v>3.6889999999999987</v>
      </c>
      <c r="Q58" s="59"/>
      <c r="R58" s="37">
        <f>SUM(O58:Q58)</f>
        <v>4.7689999999999984</v>
      </c>
      <c r="S58" s="37">
        <f>1/12*R58*(H58)^2</f>
        <v>4.8683541666666645</v>
      </c>
      <c r="T58" s="37">
        <f>1/2*R58*H58</f>
        <v>8.3457499999999971</v>
      </c>
      <c r="U58" s="37">
        <f>1/2*R58*H58</f>
        <v>8.3457499999999971</v>
      </c>
      <c r="V58" s="41"/>
      <c r="AJ58" s="101"/>
      <c r="AK58" s="101"/>
      <c r="AL58" s="78"/>
      <c r="AM58" s="78"/>
      <c r="AN58" s="78"/>
      <c r="AO58" s="145"/>
      <c r="AP58" s="143"/>
      <c r="AQ58" s="138"/>
      <c r="AR58" s="74"/>
      <c r="AS58" s="139"/>
      <c r="AT58" s="139"/>
      <c r="AU58" s="139"/>
      <c r="AV58" s="139"/>
    </row>
    <row r="59" spans="6:57" ht="15.75" x14ac:dyDescent="0.25">
      <c r="F59" s="209">
        <v>7</v>
      </c>
      <c r="G59" s="29" t="s">
        <v>220</v>
      </c>
      <c r="H59" s="47"/>
      <c r="I59" s="4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38"/>
      <c r="X59" s="63" t="s">
        <v>229</v>
      </c>
      <c r="Y59" s="69"/>
      <c r="Z59" s="74"/>
      <c r="AA59" s="78"/>
      <c r="AB59" s="78"/>
      <c r="AC59" s="78"/>
      <c r="AD59" s="78"/>
      <c r="AE59" s="86"/>
      <c r="AF59" s="1"/>
      <c r="AG59" s="95"/>
      <c r="AH59" s="95"/>
      <c r="AI59" s="86"/>
      <c r="AJ59" s="86"/>
      <c r="AK59" s="101"/>
      <c r="AL59" s="101"/>
      <c r="AM59" s="78"/>
      <c r="AN59" s="78"/>
      <c r="AO59" s="101"/>
      <c r="AP59" s="143"/>
      <c r="AQ59" s="70"/>
      <c r="AR59" s="114"/>
      <c r="AS59" s="96"/>
      <c r="AT59" s="96"/>
      <c r="AU59" s="96"/>
      <c r="AV59" s="96"/>
      <c r="AW59" s="101"/>
      <c r="AX59" s="141"/>
      <c r="AY59" s="141"/>
      <c r="AZ59" s="141"/>
      <c r="BA59" s="141"/>
      <c r="BB59" s="141"/>
    </row>
    <row r="60" spans="6:57" ht="15.75" x14ac:dyDescent="0.25">
      <c r="F60" s="211"/>
      <c r="G60" s="57" t="s">
        <v>198</v>
      </c>
      <c r="H60" s="48">
        <v>3</v>
      </c>
      <c r="I60" s="58">
        <f>H60/12</f>
        <v>0.25</v>
      </c>
      <c r="J60" s="57">
        <v>0.2</v>
      </c>
      <c r="K60" s="59">
        <f>MAX(I60:J60)</f>
        <v>0.25</v>
      </c>
      <c r="L60" s="57">
        <f>K60/2</f>
        <v>0.125</v>
      </c>
      <c r="M60" s="57">
        <v>0.15</v>
      </c>
      <c r="N60" s="59">
        <f>MAX(L60:M60)</f>
        <v>0.15</v>
      </c>
      <c r="O60" s="57"/>
      <c r="P60" s="34"/>
      <c r="Q60" s="57"/>
      <c r="R60" s="34"/>
      <c r="S60" s="34"/>
      <c r="T60" s="34"/>
      <c r="U60" s="34"/>
      <c r="V60" s="39"/>
      <c r="X60" s="64" t="s">
        <v>230</v>
      </c>
      <c r="Y60" s="70"/>
      <c r="Z60" s="74"/>
      <c r="AA60" s="78"/>
      <c r="AB60" s="78"/>
      <c r="AC60" s="78"/>
      <c r="AD60" s="78"/>
      <c r="AE60" s="86"/>
      <c r="AF60" s="92"/>
      <c r="AG60" s="96"/>
      <c r="AH60" s="96"/>
      <c r="AI60" s="99"/>
      <c r="AJ60" s="99"/>
      <c r="AO60" s="145"/>
      <c r="AP60" s="143"/>
      <c r="AQ60" s="138"/>
      <c r="AR60" s="74"/>
      <c r="AS60" s="139"/>
      <c r="AT60" s="139"/>
      <c r="AU60" s="139"/>
      <c r="AV60" s="139"/>
      <c r="AW60" s="101"/>
      <c r="AX60" s="141"/>
      <c r="AY60" s="141"/>
      <c r="AZ60" s="141"/>
      <c r="BA60" s="141"/>
      <c r="BB60" s="141"/>
    </row>
    <row r="61" spans="6:57" ht="15.75" x14ac:dyDescent="0.25">
      <c r="F61" s="211"/>
      <c r="G61" s="167" t="s">
        <v>223</v>
      </c>
      <c r="H61" s="252"/>
      <c r="I61" s="167"/>
      <c r="J61" s="167"/>
      <c r="K61" s="167"/>
      <c r="L61" s="167"/>
      <c r="M61" s="167"/>
      <c r="N61" s="167"/>
      <c r="O61" s="29"/>
      <c r="P61" s="29"/>
      <c r="Q61" s="29"/>
      <c r="R61" s="29"/>
      <c r="S61" s="29"/>
      <c r="T61" s="29"/>
      <c r="U61" s="29"/>
      <c r="V61" s="38"/>
      <c r="X61" s="222" t="s">
        <v>177</v>
      </c>
      <c r="Y61" s="223"/>
      <c r="Z61" s="224"/>
      <c r="AA61" s="241" t="s">
        <v>188</v>
      </c>
      <c r="AB61" s="242"/>
      <c r="AC61" s="242"/>
      <c r="AD61" s="242"/>
      <c r="AE61" s="243"/>
      <c r="AF61" s="220" t="s">
        <v>235</v>
      </c>
      <c r="AH61" s="222" t="s">
        <v>189</v>
      </c>
      <c r="AI61" s="223"/>
      <c r="AJ61" s="223"/>
      <c r="AK61" s="223"/>
      <c r="AL61" s="224"/>
      <c r="AM61" s="220" t="s">
        <v>235</v>
      </c>
      <c r="AO61" s="101"/>
      <c r="AP61" s="143"/>
      <c r="AQ61" s="99"/>
      <c r="AR61" s="114"/>
      <c r="AS61" s="96"/>
      <c r="AT61" s="96"/>
      <c r="AU61" s="96"/>
      <c r="AV61" s="96"/>
      <c r="AW61" s="101"/>
      <c r="AX61" s="143"/>
      <c r="AY61" s="99"/>
      <c r="AZ61" s="114"/>
      <c r="BA61" s="144"/>
      <c r="BB61" s="96"/>
    </row>
    <row r="62" spans="6:57" x14ac:dyDescent="0.25">
      <c r="F62" s="210"/>
      <c r="G62" s="168" t="s">
        <v>198</v>
      </c>
      <c r="H62" s="253">
        <v>3.5</v>
      </c>
      <c r="I62" s="168">
        <v>0.3</v>
      </c>
      <c r="J62" s="168">
        <v>0.2</v>
      </c>
      <c r="K62" s="168">
        <f>MAX(I62:J62)</f>
        <v>0.3</v>
      </c>
      <c r="L62" s="168">
        <f>K62/2</f>
        <v>0.15</v>
      </c>
      <c r="M62" s="168">
        <v>0.15</v>
      </c>
      <c r="N62" s="168">
        <f>MAX(L62:M62)</f>
        <v>0.15</v>
      </c>
      <c r="O62" s="57"/>
      <c r="P62" s="34"/>
      <c r="Q62" s="57"/>
      <c r="R62" s="34"/>
      <c r="S62" s="34"/>
      <c r="T62" s="34"/>
      <c r="U62" s="34"/>
      <c r="V62" s="39"/>
      <c r="X62" s="225" t="s">
        <v>17</v>
      </c>
      <c r="Y62" s="226"/>
      <c r="Z62" s="227"/>
      <c r="AA62" s="244"/>
      <c r="AB62" s="245"/>
      <c r="AC62" s="245"/>
      <c r="AD62" s="245"/>
      <c r="AE62" s="246"/>
      <c r="AF62" s="221"/>
      <c r="AH62" s="225"/>
      <c r="AI62" s="226"/>
      <c r="AJ62" s="226"/>
      <c r="AK62" s="226"/>
      <c r="AL62" s="227"/>
      <c r="AM62" s="221"/>
    </row>
    <row r="63" spans="6:57" x14ac:dyDescent="0.25">
      <c r="F63" s="209">
        <v>8</v>
      </c>
      <c r="G63" s="55" t="s">
        <v>227</v>
      </c>
      <c r="H63" s="47"/>
      <c r="I63" s="49"/>
      <c r="J63" s="29"/>
      <c r="K63" s="29"/>
      <c r="L63" s="29"/>
      <c r="M63" s="29"/>
      <c r="N63" s="29"/>
      <c r="O63" s="29"/>
      <c r="P63" s="29" t="s">
        <v>218</v>
      </c>
      <c r="Q63" s="29"/>
      <c r="R63" s="29"/>
      <c r="S63" s="29"/>
      <c r="T63" s="29"/>
      <c r="U63" s="29"/>
      <c r="V63" s="32"/>
      <c r="X63" s="230">
        <v>4</v>
      </c>
      <c r="Y63" s="65" t="str">
        <f t="shared" ref="Y63:Y68" si="3">Y47</f>
        <v>(A-B)</v>
      </c>
      <c r="Z63" s="72"/>
      <c r="AA63" s="79" t="s">
        <v>231</v>
      </c>
      <c r="AB63" s="79" t="s">
        <v>232</v>
      </c>
      <c r="AC63" s="79" t="s">
        <v>233</v>
      </c>
      <c r="AD63" s="79" t="s">
        <v>258</v>
      </c>
      <c r="AE63" s="87" t="s">
        <v>259</v>
      </c>
      <c r="AF63" s="33"/>
      <c r="AH63" s="79" t="s">
        <v>231</v>
      </c>
      <c r="AI63" s="79" t="s">
        <v>232</v>
      </c>
      <c r="AJ63" s="79" t="s">
        <v>233</v>
      </c>
      <c r="AK63" s="79" t="s">
        <v>258</v>
      </c>
      <c r="AL63" s="87" t="s">
        <v>259</v>
      </c>
      <c r="AM63" s="33"/>
      <c r="AN63" s="26"/>
    </row>
    <row r="64" spans="6:57" x14ac:dyDescent="0.25">
      <c r="F64" s="210"/>
      <c r="G64" s="59" t="s">
        <v>198</v>
      </c>
      <c r="H64" s="48">
        <v>2</v>
      </c>
      <c r="I64" s="58">
        <v>0.2</v>
      </c>
      <c r="J64" s="57">
        <v>0.2</v>
      </c>
      <c r="K64" s="59">
        <f>MAX(I64:J64)</f>
        <v>0.2</v>
      </c>
      <c r="L64" s="57">
        <f>K64/2</f>
        <v>0.1</v>
      </c>
      <c r="M64" s="57">
        <v>0.15</v>
      </c>
      <c r="N64" s="59">
        <f>MAX(L64:M64)</f>
        <v>0.15</v>
      </c>
      <c r="O64" s="57">
        <f>1.2*C$19*K64*N64</f>
        <v>0.86399999999999999</v>
      </c>
      <c r="P64" s="34">
        <f>J10</f>
        <v>4.2160000000000002</v>
      </c>
      <c r="Q64" s="57">
        <f>1.2*1*C$23*C$21</f>
        <v>3.0599999999999996</v>
      </c>
      <c r="R64" s="34">
        <f>SUM(O64:Q64)</f>
        <v>8.14</v>
      </c>
      <c r="S64" s="34">
        <f>1/12*R64*(H64)^2</f>
        <v>2.7133333333333334</v>
      </c>
      <c r="T64" s="34">
        <f>1/2*R64*H64</f>
        <v>8.14</v>
      </c>
      <c r="U64" s="34">
        <f>1/2*R64*H64</f>
        <v>8.14</v>
      </c>
      <c r="V64" s="31"/>
      <c r="X64" s="231"/>
      <c r="Y64" s="66" t="str">
        <f t="shared" si="3"/>
        <v>L:</v>
      </c>
      <c r="Z64" s="153">
        <f>Z48</f>
        <v>3</v>
      </c>
      <c r="AA64" s="80">
        <f>AR48*AL48/AM48</f>
        <v>7.8021124687500008</v>
      </c>
      <c r="AB64" s="80">
        <f>(AO48*((1/2*AK48)+AL48))/AM48</f>
        <v>18.187588124999998</v>
      </c>
      <c r="AC64" s="82">
        <f>(AQ48*(1/2*AL48)/AM48)</f>
        <v>10.786789406250001</v>
      </c>
      <c r="AD64" s="80">
        <f>AS48</f>
        <v>7.7097871705078127</v>
      </c>
      <c r="AE64" s="82">
        <f>AT48</f>
        <v>12.900325955537111</v>
      </c>
      <c r="AF64" s="93">
        <f>AA64+AB64+AC64+AD64-AE64</f>
        <v>31.585951214970692</v>
      </c>
      <c r="AG64" s="97"/>
      <c r="AH64" s="80">
        <f>(AR48*AK48)/AM48</f>
        <v>5.7667787812500002</v>
      </c>
      <c r="AI64" s="80">
        <f>(AO48*(1/2*AK48)/AM48)</f>
        <v>4.9077618749999994</v>
      </c>
      <c r="AJ64" s="102">
        <f>(AQ48*((1/2*AL48)+AK48)/AM48)</f>
        <v>26.732478093750004</v>
      </c>
      <c r="AK64" s="80">
        <f>AS48</f>
        <v>7.7097871705078127</v>
      </c>
      <c r="AL64" s="102">
        <f>AT48</f>
        <v>12.900325955537111</v>
      </c>
      <c r="AM64" s="94">
        <f>AH64+AI64+AJ64-AK64+AL64</f>
        <v>42.597557535029303</v>
      </c>
      <c r="AN64" s="97"/>
    </row>
    <row r="65" spans="24:47" x14ac:dyDescent="0.25">
      <c r="X65" s="234">
        <v>7</v>
      </c>
      <c r="Y65" s="154" t="str">
        <f t="shared" si="3"/>
        <v>(A-B)</v>
      </c>
      <c r="Z65" s="75"/>
      <c r="AA65" s="79" t="s">
        <v>231</v>
      </c>
      <c r="AB65" s="79" t="s">
        <v>232</v>
      </c>
      <c r="AC65" s="79" t="s">
        <v>233</v>
      </c>
      <c r="AD65" s="79" t="s">
        <v>258</v>
      </c>
      <c r="AE65" s="87" t="s">
        <v>260</v>
      </c>
      <c r="AF65" s="93"/>
      <c r="AG65" s="97"/>
      <c r="AH65" s="79" t="s">
        <v>231</v>
      </c>
      <c r="AI65" s="79" t="s">
        <v>232</v>
      </c>
      <c r="AJ65" s="79" t="s">
        <v>233</v>
      </c>
      <c r="AK65" s="79" t="s">
        <v>258</v>
      </c>
      <c r="AL65" s="87" t="s">
        <v>259</v>
      </c>
      <c r="AM65" s="93"/>
      <c r="AN65" s="97"/>
    </row>
    <row r="66" spans="24:47" x14ac:dyDescent="0.25">
      <c r="X66" s="247"/>
      <c r="Y66" s="155" t="str">
        <f t="shared" si="3"/>
        <v>L:</v>
      </c>
      <c r="Z66" s="153">
        <f>Z50</f>
        <v>3</v>
      </c>
      <c r="AA66" s="81">
        <f>AR50*AL50/AM50</f>
        <v>7.8021124687500008</v>
      </c>
      <c r="AB66" s="81">
        <f>(AO50*((1/2*AK50)+AL50))/AM50</f>
        <v>11.837896874999998</v>
      </c>
      <c r="AC66" s="81">
        <f>(AQ50*(1/2*AL50)/AM50)</f>
        <v>7.650480656250001</v>
      </c>
      <c r="AD66" s="81">
        <f>AS50</f>
        <v>5.0181291123046874</v>
      </c>
      <c r="AE66" s="88">
        <f>AT50</f>
        <v>9.1494967098339846</v>
      </c>
      <c r="AF66" s="94">
        <f>AA66+AB66+AC66+AD66-AE66</f>
        <v>23.1591224024707</v>
      </c>
      <c r="AG66" s="97"/>
      <c r="AH66" s="81">
        <f>(AR50*AK50)/AM50</f>
        <v>5.7667787812500002</v>
      </c>
      <c r="AI66" s="81">
        <f>(AO50*(1/2*AK50)/AM50)</f>
        <v>3.1943531249999997</v>
      </c>
      <c r="AJ66" s="103">
        <f>(AQ50*((1/2*AL50)+AK50)/AM50)</f>
        <v>18.959886843750002</v>
      </c>
      <c r="AK66" s="81">
        <f>AS50</f>
        <v>5.0181291123046874</v>
      </c>
      <c r="AL66" s="103">
        <f>AT50</f>
        <v>9.1494967098339846</v>
      </c>
      <c r="AM66" s="94">
        <f>AH66+AI66+AJ66-AK66+AL66</f>
        <v>32.0523863475293</v>
      </c>
      <c r="AN66" s="97"/>
    </row>
    <row r="67" spans="24:47" x14ac:dyDescent="0.25">
      <c r="X67" s="247"/>
      <c r="Y67" s="154" t="str">
        <f t="shared" si="3"/>
        <v>(B-D)</v>
      </c>
      <c r="Z67" s="75"/>
      <c r="AA67" s="79" t="s">
        <v>231</v>
      </c>
      <c r="AB67" s="79" t="s">
        <v>232</v>
      </c>
      <c r="AC67" s="79" t="s">
        <v>233</v>
      </c>
      <c r="AD67" s="79" t="s">
        <v>258</v>
      </c>
      <c r="AE67" s="87" t="s">
        <v>260</v>
      </c>
      <c r="AF67" s="93"/>
      <c r="AG67" s="97"/>
      <c r="AH67" s="79" t="s">
        <v>231</v>
      </c>
      <c r="AI67" s="79" t="s">
        <v>232</v>
      </c>
      <c r="AJ67" s="79" t="s">
        <v>233</v>
      </c>
      <c r="AK67" s="79" t="s">
        <v>258</v>
      </c>
      <c r="AL67" s="87" t="s">
        <v>259</v>
      </c>
      <c r="AM67" s="93"/>
      <c r="AN67" s="97"/>
    </row>
    <row r="68" spans="24:47" x14ac:dyDescent="0.25">
      <c r="X68" s="235"/>
      <c r="Y68" s="155" t="str">
        <f t="shared" si="3"/>
        <v>L:</v>
      </c>
      <c r="Z68" s="153">
        <f>Z52</f>
        <v>3.5</v>
      </c>
      <c r="AA68" s="81">
        <f>AR52*AL52/AM52</f>
        <v>6.5708571428571423</v>
      </c>
      <c r="AB68" s="81">
        <f>(AO52*((1/2*AK52)+AL52))/AM52</f>
        <v>16.323803571428574</v>
      </c>
      <c r="AC68" s="81">
        <f>(AQ52*(1/2*AL52)/AM52)</f>
        <v>4.2037142857142857</v>
      </c>
      <c r="AD68" s="81">
        <f>AS52</f>
        <v>18.545310586734693</v>
      </c>
      <c r="AE68" s="88">
        <f>AT52</f>
        <v>14.104292304421769</v>
      </c>
      <c r="AF68" s="94">
        <f>AA68+AB68+AC68+AD68-AE68</f>
        <v>31.539393282312929</v>
      </c>
      <c r="AG68" s="97"/>
      <c r="AH68" s="81">
        <f>(AR52*AK52)/AM52</f>
        <v>4.9281428571428574</v>
      </c>
      <c r="AI68" s="81">
        <f>(AO52*(1/2*AK52)/AM52)</f>
        <v>4.4519464285714294</v>
      </c>
      <c r="AJ68" s="103">
        <f>(AQ52*((1/2*AL52)+AK52)/AM52)</f>
        <v>10.509285714285713</v>
      </c>
      <c r="AK68" s="81">
        <f>AS52</f>
        <v>18.545310586734693</v>
      </c>
      <c r="AL68" s="103">
        <f>AT52</f>
        <v>14.104292304421769</v>
      </c>
      <c r="AM68" s="94">
        <f>AH68+AI68+AJ68-AK68+AL68</f>
        <v>15.448356717687076</v>
      </c>
    </row>
    <row r="73" spans="24:47" x14ac:dyDescent="0.25">
      <c r="AD73" s="3" t="s">
        <v>262</v>
      </c>
      <c r="AH73" t="s">
        <v>263</v>
      </c>
      <c r="AI73" s="162" t="s">
        <v>264</v>
      </c>
    </row>
    <row r="74" spans="24:47" x14ac:dyDescent="0.25">
      <c r="AH74" t="s">
        <v>265</v>
      </c>
      <c r="AI74" t="s">
        <v>266</v>
      </c>
    </row>
    <row r="75" spans="24:47" x14ac:dyDescent="0.25">
      <c r="AC75" t="s">
        <v>240</v>
      </c>
      <c r="AE75" t="s">
        <v>242</v>
      </c>
      <c r="AH75" t="s">
        <v>267</v>
      </c>
      <c r="AI75" t="s">
        <v>268</v>
      </c>
    </row>
    <row r="77" spans="24:47" x14ac:dyDescent="0.25">
      <c r="AT77" s="60" t="s">
        <v>269</v>
      </c>
      <c r="AU77">
        <f>AR52*AK52*AL52^2/AM52^2</f>
        <v>5.6321632653061222</v>
      </c>
    </row>
    <row r="78" spans="24:47" x14ac:dyDescent="0.25">
      <c r="AT78" s="60"/>
    </row>
    <row r="79" spans="24:47" x14ac:dyDescent="0.25">
      <c r="AT79" s="159" t="s">
        <v>277</v>
      </c>
      <c r="AU79">
        <f>AR52*AL52*AK52^2/AM52^2</f>
        <v>4.2241224489795917</v>
      </c>
    </row>
    <row r="80" spans="24:47" x14ac:dyDescent="0.25">
      <c r="AC80" t="s">
        <v>280</v>
      </c>
      <c r="AE80" t="s">
        <v>281</v>
      </c>
      <c r="AT80" s="60"/>
    </row>
    <row r="81" spans="27:47" x14ac:dyDescent="0.25">
      <c r="AA81" t="s">
        <v>279</v>
      </c>
      <c r="AT81" s="60"/>
    </row>
    <row r="82" spans="27:47" x14ac:dyDescent="0.25">
      <c r="AT82" s="60"/>
    </row>
    <row r="83" spans="27:47" x14ac:dyDescent="0.25">
      <c r="AA83">
        <f>AC83+AF83</f>
        <v>11.498999999999999</v>
      </c>
      <c r="AC83">
        <f>AR52*AL52/AM52</f>
        <v>6.5708571428571423</v>
      </c>
      <c r="AF83">
        <f>AR52*AK52/AM52</f>
        <v>4.9281428571428574</v>
      </c>
      <c r="AT83" s="60"/>
    </row>
    <row r="84" spans="27:47" x14ac:dyDescent="0.25">
      <c r="AT84" s="60"/>
    </row>
    <row r="85" spans="27:47" x14ac:dyDescent="0.25">
      <c r="AT85" s="60"/>
    </row>
    <row r="86" spans="27:47" ht="21" x14ac:dyDescent="0.35">
      <c r="AA86">
        <f>AC86+AF86</f>
        <v>20.775750000000002</v>
      </c>
      <c r="AC86">
        <f>AO52*(AL52+0.5*AK52)/AM52</f>
        <v>16.323803571428574</v>
      </c>
      <c r="AF86">
        <f>AO52*0.5*AK52/AM52</f>
        <v>4.4519464285714294</v>
      </c>
      <c r="AT86" s="188" t="s">
        <v>271</v>
      </c>
      <c r="AU86">
        <f>AK52/AM52</f>
        <v>0.42857142857142855</v>
      </c>
    </row>
    <row r="87" spans="27:47" ht="21" x14ac:dyDescent="0.35">
      <c r="AT87" s="189" t="s">
        <v>272</v>
      </c>
      <c r="AU87">
        <f>AN52*AK52*AM52*AU86/12</f>
        <v>2.5969687499999998</v>
      </c>
    </row>
    <row r="88" spans="27:47" ht="21" x14ac:dyDescent="0.35">
      <c r="AA88">
        <f>AC88+AF88</f>
        <v>14.712999999999999</v>
      </c>
      <c r="AC88">
        <f>AQ52*0.5*AL52/AM52</f>
        <v>4.2037142857142857</v>
      </c>
      <c r="AF88">
        <f>AQ52*(0.5*AL52+AK52)/AM52</f>
        <v>10.509285714285713</v>
      </c>
      <c r="AT88" s="189" t="s">
        <v>273</v>
      </c>
      <c r="AU88">
        <f>3*AU86^2-8*AU86+6</f>
        <v>3.1224489795918369</v>
      </c>
    </row>
    <row r="89" spans="27:47" ht="21" x14ac:dyDescent="0.35">
      <c r="AT89" s="189" t="s">
        <v>270</v>
      </c>
      <c r="AU89" s="190">
        <f>AU87*AU88</f>
        <v>8.1089024234693881</v>
      </c>
    </row>
    <row r="90" spans="27:47" x14ac:dyDescent="0.25">
      <c r="AD90">
        <f>AS52/AM52</f>
        <v>5.2986601676384835</v>
      </c>
    </row>
    <row r="91" spans="27:47" x14ac:dyDescent="0.25">
      <c r="AT91" s="159" t="s">
        <v>277</v>
      </c>
      <c r="AU91">
        <f>AN52*AK52*AM52*AU86^2*(4-AU86)/12</f>
        <v>3.9749521683673468</v>
      </c>
    </row>
    <row r="92" spans="27:47" x14ac:dyDescent="0.25">
      <c r="AD92" t="s">
        <v>275</v>
      </c>
      <c r="AE92">
        <f>AT52/AM52</f>
        <v>4.0297978012633626</v>
      </c>
    </row>
    <row r="95" spans="27:47" ht="21" x14ac:dyDescent="0.35">
      <c r="AT95" s="188" t="s">
        <v>271</v>
      </c>
      <c r="AU95">
        <f>AL52/AM52</f>
        <v>0.5714285714285714</v>
      </c>
    </row>
    <row r="96" spans="27:47" ht="21" x14ac:dyDescent="0.35">
      <c r="AC96">
        <f>AC83+AC86+AC88+AD90-AE92</f>
        <v>28.367237366375122</v>
      </c>
      <c r="AF96">
        <f>AF83+AF86+AF88-AD90+AE92</f>
        <v>18.62051263362488</v>
      </c>
      <c r="AT96" s="189" t="s">
        <v>270</v>
      </c>
      <c r="AU96">
        <f>AP52*AL52*AM52*AU95^2/12*(4-AU95)</f>
        <v>4.8042448979591841</v>
      </c>
    </row>
    <row r="97" spans="28:47" x14ac:dyDescent="0.25">
      <c r="AT97" s="159" t="s">
        <v>277</v>
      </c>
      <c r="AU97">
        <f>AP52*AL52*AM52*AU95*(3*AU95^2-8*AU95+6)/12</f>
        <v>5.9052176870748312</v>
      </c>
    </row>
    <row r="100" spans="28:47" x14ac:dyDescent="0.25">
      <c r="AB100">
        <f>AC96</f>
        <v>28.367237366375122</v>
      </c>
    </row>
    <row r="101" spans="28:47" x14ac:dyDescent="0.25">
      <c r="AD101">
        <f>AB100-AA86</f>
        <v>7.5914873663751194</v>
      </c>
      <c r="AF101" t="s">
        <v>282</v>
      </c>
    </row>
    <row r="102" spans="28:47" ht="21" x14ac:dyDescent="0.35">
      <c r="AS102" s="251" t="s">
        <v>274</v>
      </c>
      <c r="AT102" s="191">
        <f>AU77+AU89+AU96</f>
        <v>18.545310586734693</v>
      </c>
    </row>
    <row r="104" spans="28:47" ht="21" x14ac:dyDescent="0.35">
      <c r="AS104" s="251" t="s">
        <v>278</v>
      </c>
      <c r="AT104" s="255">
        <f>AU79+AU91+AU97</f>
        <v>14.104292304421769</v>
      </c>
    </row>
    <row r="106" spans="28:47" x14ac:dyDescent="0.25">
      <c r="AD106">
        <f>AD101-AA83</f>
        <v>-3.9075126336248793</v>
      </c>
    </row>
    <row r="108" spans="28:47" x14ac:dyDescent="0.25">
      <c r="AF108">
        <f>AD106-AA88</f>
        <v>-18.620512633624877</v>
      </c>
    </row>
    <row r="110" spans="28:47" x14ac:dyDescent="0.25">
      <c r="AB110" t="s">
        <v>283</v>
      </c>
      <c r="AD110">
        <f>AC96*AK52-AO52*0.5*AK52-AS52</f>
        <v>8.4237329628279873</v>
      </c>
    </row>
  </sheetData>
  <mergeCells count="55">
    <mergeCell ref="X63:X64"/>
    <mergeCell ref="X65:X68"/>
    <mergeCell ref="AI52:AJ52"/>
    <mergeCell ref="X49:X52"/>
    <mergeCell ref="X61:Z61"/>
    <mergeCell ref="AA61:AE62"/>
    <mergeCell ref="AF61:AF62"/>
    <mergeCell ref="AH61:AL62"/>
    <mergeCell ref="AM61:AM62"/>
    <mergeCell ref="X62:Z62"/>
    <mergeCell ref="AW17:AW22"/>
    <mergeCell ref="X45:Z45"/>
    <mergeCell ref="X46:Z46"/>
    <mergeCell ref="AI50:AJ50"/>
    <mergeCell ref="AW45:AW52"/>
    <mergeCell ref="X28:Z28"/>
    <mergeCell ref="X27:Z27"/>
    <mergeCell ref="AA27:AE28"/>
    <mergeCell ref="AF27:AF28"/>
    <mergeCell ref="AH27:AL28"/>
    <mergeCell ref="AG45:AH45"/>
    <mergeCell ref="AI45:AJ45"/>
    <mergeCell ref="AG46:AH46"/>
    <mergeCell ref="AI46:AJ46"/>
    <mergeCell ref="X47:X48"/>
    <mergeCell ref="AI48:AJ48"/>
    <mergeCell ref="X31:X32"/>
    <mergeCell ref="X29:X30"/>
    <mergeCell ref="AI20:AJ20"/>
    <mergeCell ref="X21:X22"/>
    <mergeCell ref="AI22:AJ22"/>
    <mergeCell ref="AM27:AM28"/>
    <mergeCell ref="X17:Z17"/>
    <mergeCell ref="AG17:AH17"/>
    <mergeCell ref="AI17:AJ17"/>
    <mergeCell ref="X18:Z18"/>
    <mergeCell ref="AG18:AH18"/>
    <mergeCell ref="AI18:AJ18"/>
    <mergeCell ref="X19:X20"/>
    <mergeCell ref="F17:H17"/>
    <mergeCell ref="F18:H18"/>
    <mergeCell ref="B7:D7"/>
    <mergeCell ref="F19:F24"/>
    <mergeCell ref="F25:F26"/>
    <mergeCell ref="F27:F32"/>
    <mergeCell ref="F33:F34"/>
    <mergeCell ref="F35:F40"/>
    <mergeCell ref="F45:H45"/>
    <mergeCell ref="F46:H46"/>
    <mergeCell ref="F63:F64"/>
    <mergeCell ref="F47:F48"/>
    <mergeCell ref="F49:F52"/>
    <mergeCell ref="F53:F56"/>
    <mergeCell ref="F57:F58"/>
    <mergeCell ref="F59:F62"/>
  </mergeCells>
  <pageMargins left="0.7" right="0.7" top="0.75" bottom="0.75" header="0.3" footer="0.3"/>
  <pageSetup paperSize="9" orientation="portrait" r:id="rId1"/>
  <ignoredErrors>
    <ignoredError sqref="K24 K30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42:Q50"/>
  <sheetViews>
    <sheetView topLeftCell="E34" workbookViewId="0">
      <selection activeCell="P42" sqref="P42"/>
    </sheetView>
  </sheetViews>
  <sheetFormatPr defaultRowHeight="15" x14ac:dyDescent="0.25"/>
  <sheetData>
    <row r="42" spans="11:17" x14ac:dyDescent="0.25">
      <c r="P42" t="s">
        <v>276</v>
      </c>
    </row>
    <row r="43" spans="11:17" x14ac:dyDescent="0.25">
      <c r="L43" s="3" t="s">
        <v>262</v>
      </c>
      <c r="P43" t="s">
        <v>263</v>
      </c>
      <c r="Q43" s="162" t="s">
        <v>264</v>
      </c>
    </row>
    <row r="44" spans="11:17" x14ac:dyDescent="0.25">
      <c r="P44" t="s">
        <v>265</v>
      </c>
      <c r="Q44" t="s">
        <v>266</v>
      </c>
    </row>
    <row r="45" spans="11:17" x14ac:dyDescent="0.25">
      <c r="K45" t="s">
        <v>240</v>
      </c>
      <c r="M45" t="s">
        <v>242</v>
      </c>
      <c r="P45" t="s">
        <v>267</v>
      </c>
      <c r="Q45" t="s">
        <v>268</v>
      </c>
    </row>
    <row r="50" spans="11:13" x14ac:dyDescent="0.25">
      <c r="K50">
        <v>150</v>
      </c>
      <c r="M50">
        <v>200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PLAT</vt:lpstr>
      <vt:lpstr>QE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QUANTA</cp:lastModifiedBy>
  <dcterms:created xsi:type="dcterms:W3CDTF">2021-10-11T08:37:52Z</dcterms:created>
  <dcterms:modified xsi:type="dcterms:W3CDTF">2021-11-02T13:28:10Z</dcterms:modified>
</cp:coreProperties>
</file>