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indahan USB lama\UPGRIS\PENDIDIKAN &amp; PENGAJARAN\KULIAH\Konstruksi beton bertulang lanjutan\Beton Lanjutan\bahan urutan\Materi gasal 2021-2022\"/>
    </mc:Choice>
  </mc:AlternateContent>
  <xr:revisionPtr revIDLastSave="0" documentId="13_ncr:1_{A64EEFDF-5847-4F38-B64E-60E2A1D4CFD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LAT" sheetId="1" r:id="rId1"/>
    <sheet name="Sheet1" sheetId="6" r:id="rId2"/>
    <sheet name="QE &amp; MOMEN" sheetId="2" r:id="rId3"/>
    <sheet name="penulangan BALOK" sheetId="3" r:id="rId4"/>
    <sheet name="Kolom " sheetId="5" r:id="rId5"/>
  </sheets>
  <calcPr calcId="181029"/>
</workbook>
</file>

<file path=xl/calcChain.xml><?xml version="1.0" encoding="utf-8"?>
<calcChain xmlns="http://schemas.openxmlformats.org/spreadsheetml/2006/main">
  <c r="E18" i="1" l="1"/>
  <c r="M9" i="1"/>
  <c r="N9" i="1"/>
  <c r="P23" i="3"/>
  <c r="O13" i="3" l="1"/>
  <c r="Y24" i="2" l="1"/>
  <c r="DC53" i="5" l="1"/>
  <c r="DC47" i="5"/>
  <c r="DC45" i="5"/>
  <c r="DC37" i="5"/>
  <c r="DC35" i="5"/>
  <c r="DC29" i="5"/>
  <c r="DA53" i="5"/>
  <c r="CZ53" i="5"/>
  <c r="CW53" i="5"/>
  <c r="DA47" i="5"/>
  <c r="CZ47" i="5"/>
  <c r="CW47" i="5"/>
  <c r="DA45" i="5"/>
  <c r="CZ45" i="5"/>
  <c r="CW45" i="5"/>
  <c r="DA37" i="5"/>
  <c r="CZ37" i="5"/>
  <c r="CW37" i="5"/>
  <c r="DA35" i="5"/>
  <c r="CZ35" i="5"/>
  <c r="CW35" i="5"/>
  <c r="DA29" i="5"/>
  <c r="CZ29" i="5"/>
  <c r="CW29" i="5"/>
  <c r="BZ39" i="5"/>
  <c r="BZ35" i="5"/>
  <c r="BZ33" i="5"/>
  <c r="BZ29" i="5"/>
  <c r="DC51" i="5"/>
  <c r="DC49" i="5"/>
  <c r="DC43" i="5"/>
  <c r="DC33" i="5"/>
  <c r="DC31" i="5"/>
  <c r="DA51" i="5"/>
  <c r="CZ51" i="5"/>
  <c r="CW51" i="5"/>
  <c r="DA49" i="5"/>
  <c r="CZ49" i="5"/>
  <c r="CW49" i="5"/>
  <c r="DA43" i="5"/>
  <c r="CZ43" i="5"/>
  <c r="CW43" i="5"/>
  <c r="DA33" i="5"/>
  <c r="CZ33" i="5"/>
  <c r="CW33" i="5"/>
  <c r="DA31" i="5"/>
  <c r="CZ31" i="5"/>
  <c r="CW31" i="5"/>
  <c r="DC41" i="5"/>
  <c r="DC39" i="5"/>
  <c r="DC26" i="5"/>
  <c r="DA41" i="5"/>
  <c r="CZ41" i="5"/>
  <c r="CW41" i="5"/>
  <c r="DA39" i="5"/>
  <c r="CZ39" i="5"/>
  <c r="CW39" i="5"/>
  <c r="ED77" i="3" l="1"/>
  <c r="EC77" i="3"/>
  <c r="EB77" i="3"/>
  <c r="ED75" i="3"/>
  <c r="EC75" i="3"/>
  <c r="EB75" i="3"/>
  <c r="ED73" i="3"/>
  <c r="EC73" i="3"/>
  <c r="EB73" i="3"/>
  <c r="ED71" i="3"/>
  <c r="EC71" i="3"/>
  <c r="EB71" i="3"/>
  <c r="ED69" i="3"/>
  <c r="EC69" i="3"/>
  <c r="EB69" i="3"/>
  <c r="ED67" i="3"/>
  <c r="EC67" i="3"/>
  <c r="EB67" i="3"/>
  <c r="ED65" i="3"/>
  <c r="EC65" i="3"/>
  <c r="EB65" i="3"/>
  <c r="ED63" i="3"/>
  <c r="EC63" i="3"/>
  <c r="EB63" i="3"/>
  <c r="ED61" i="3"/>
  <c r="EC61" i="3"/>
  <c r="EB61" i="3"/>
  <c r="ED31" i="3"/>
  <c r="EC31" i="3"/>
  <c r="EB31" i="3"/>
  <c r="ED29" i="3"/>
  <c r="EC29" i="3"/>
  <c r="EB29" i="3"/>
  <c r="ED27" i="3"/>
  <c r="EC27" i="3"/>
  <c r="EB27" i="3"/>
  <c r="ED25" i="3"/>
  <c r="EC25" i="3"/>
  <c r="EB25" i="3"/>
  <c r="ED23" i="3"/>
  <c r="EC23" i="3"/>
  <c r="EB23" i="3"/>
  <c r="ED21" i="3"/>
  <c r="EC21" i="3"/>
  <c r="EB21" i="3"/>
  <c r="ED19" i="3"/>
  <c r="EC19" i="3"/>
  <c r="EB19" i="3"/>
  <c r="ED17" i="3"/>
  <c r="EC17" i="3"/>
  <c r="EB17" i="3"/>
  <c r="ED15" i="3"/>
  <c r="EC15" i="3"/>
  <c r="EB15" i="3"/>
  <c r="ED13" i="3"/>
  <c r="EC13" i="3"/>
  <c r="EB13" i="3"/>
  <c r="ED11" i="3"/>
  <c r="EC11" i="3"/>
  <c r="EB11" i="3"/>
  <c r="ER77" i="3"/>
  <c r="EN76" i="3"/>
  <c r="EK76" i="3"/>
  <c r="EH76" i="3"/>
  <c r="EE76" i="3"/>
  <c r="ER75" i="3"/>
  <c r="EN74" i="3"/>
  <c r="EK74" i="3"/>
  <c r="EH74" i="3"/>
  <c r="EE74" i="3"/>
  <c r="ER73" i="3"/>
  <c r="EN72" i="3"/>
  <c r="EK72" i="3"/>
  <c r="EH72" i="3"/>
  <c r="EE72" i="3"/>
  <c r="ER71" i="3"/>
  <c r="EN70" i="3"/>
  <c r="EK70" i="3"/>
  <c r="EH70" i="3"/>
  <c r="EE70" i="3"/>
  <c r="ER69" i="3"/>
  <c r="EN68" i="3"/>
  <c r="EK68" i="3"/>
  <c r="EH68" i="3"/>
  <c r="EE68" i="3"/>
  <c r="ER67" i="3"/>
  <c r="EN66" i="3"/>
  <c r="EK66" i="3"/>
  <c r="EH66" i="3"/>
  <c r="EE66" i="3"/>
  <c r="ER65" i="3"/>
  <c r="EN64" i="3"/>
  <c r="EK64" i="3"/>
  <c r="EH64" i="3"/>
  <c r="EE64" i="3"/>
  <c r="ER63" i="3"/>
  <c r="EN62" i="3"/>
  <c r="EK62" i="3"/>
  <c r="EH62" i="3"/>
  <c r="EE62" i="3"/>
  <c r="ER61" i="3"/>
  <c r="ER31" i="3"/>
  <c r="ER29" i="3"/>
  <c r="ER27" i="3"/>
  <c r="ER25" i="3"/>
  <c r="ER23" i="3"/>
  <c r="ER21" i="3"/>
  <c r="ER19" i="3"/>
  <c r="ER17" i="3"/>
  <c r="ER15" i="3"/>
  <c r="ER13" i="3"/>
  <c r="ER11" i="3"/>
  <c r="EN12" i="3"/>
  <c r="EN14" i="3"/>
  <c r="EN16" i="3"/>
  <c r="EN18" i="3"/>
  <c r="EN20" i="3"/>
  <c r="EN22" i="3"/>
  <c r="EN24" i="3"/>
  <c r="EN26" i="3"/>
  <c r="EN28" i="3"/>
  <c r="EN30" i="3"/>
  <c r="EK12" i="3"/>
  <c r="EK14" i="3"/>
  <c r="EK16" i="3"/>
  <c r="EK18" i="3"/>
  <c r="EK20" i="3"/>
  <c r="EK22" i="3"/>
  <c r="EK24" i="3"/>
  <c r="EK26" i="3"/>
  <c r="EK28" i="3"/>
  <c r="EK30" i="3"/>
  <c r="EH12" i="3"/>
  <c r="EH14" i="3"/>
  <c r="EH16" i="3"/>
  <c r="EH18" i="3"/>
  <c r="EH20" i="3"/>
  <c r="EH22" i="3"/>
  <c r="EH24" i="3"/>
  <c r="EH26" i="3"/>
  <c r="EH28" i="3"/>
  <c r="EH30" i="3"/>
  <c r="EE12" i="3"/>
  <c r="EE14" i="3"/>
  <c r="EE16" i="3"/>
  <c r="EE18" i="3"/>
  <c r="EE20" i="3"/>
  <c r="EE22" i="3"/>
  <c r="EE24" i="3"/>
  <c r="EE26" i="3"/>
  <c r="EE28" i="3"/>
  <c r="EE30" i="3"/>
  <c r="W15" i="3" l="1"/>
  <c r="CI39" i="5" l="1"/>
  <c r="CI29" i="5"/>
  <c r="BZ37" i="5"/>
  <c r="CI37" i="5" s="1"/>
  <c r="BZ31" i="5"/>
  <c r="CI31" i="5" s="1"/>
  <c r="CM39" i="5"/>
  <c r="CN39" i="5" s="1"/>
  <c r="CH39" i="5"/>
  <c r="BY39" i="5"/>
  <c r="BV39" i="5"/>
  <c r="CM37" i="5"/>
  <c r="CN37" i="5" s="1"/>
  <c r="CH37" i="5"/>
  <c r="BY37" i="5"/>
  <c r="BV37" i="5"/>
  <c r="CM35" i="5"/>
  <c r="CN35" i="5" s="1"/>
  <c r="CI35" i="5"/>
  <c r="CH35" i="5"/>
  <c r="BY35" i="5"/>
  <c r="BV35" i="5"/>
  <c r="CM33" i="5"/>
  <c r="CN33" i="5" s="1"/>
  <c r="CI33" i="5"/>
  <c r="CH33" i="5"/>
  <c r="BY33" i="5"/>
  <c r="BV33" i="5"/>
  <c r="CM31" i="5"/>
  <c r="CN31" i="5" s="1"/>
  <c r="CH31" i="5"/>
  <c r="BY31" i="5"/>
  <c r="BV31" i="5"/>
  <c r="CM29" i="5"/>
  <c r="CN29" i="5" s="1"/>
  <c r="CH29" i="5"/>
  <c r="BY29" i="5"/>
  <c r="BV29" i="5"/>
  <c r="CM26" i="5"/>
  <c r="BO37" i="5"/>
  <c r="BP37" i="5" s="1"/>
  <c r="BJ37" i="5"/>
  <c r="BO35" i="5"/>
  <c r="BP35" i="5" s="1"/>
  <c r="BJ35" i="5"/>
  <c r="BO33" i="5"/>
  <c r="BP33" i="5" s="1"/>
  <c r="BJ33" i="5"/>
  <c r="BO31" i="5"/>
  <c r="BP31" i="5" s="1"/>
  <c r="DD33" i="5" s="1"/>
  <c r="AO31" i="5"/>
  <c r="AP31" i="5" s="1"/>
  <c r="BO29" i="5"/>
  <c r="BP29" i="5" s="1"/>
  <c r="DD31" i="5" s="1"/>
  <c r="BO26" i="5"/>
  <c r="AO26" i="5"/>
  <c r="AZ37" i="5"/>
  <c r="BK37" i="5" s="1"/>
  <c r="AY37" i="5"/>
  <c r="AV37" i="5"/>
  <c r="AZ35" i="5"/>
  <c r="BK35" i="5" s="1"/>
  <c r="AY35" i="5"/>
  <c r="AV35" i="5"/>
  <c r="AZ33" i="5"/>
  <c r="BK33" i="5" s="1"/>
  <c r="AY33" i="5"/>
  <c r="AV33" i="5"/>
  <c r="BJ31" i="5"/>
  <c r="AZ31" i="5"/>
  <c r="BK31" i="5" s="1"/>
  <c r="AY31" i="5"/>
  <c r="AV31" i="5"/>
  <c r="BJ29" i="5"/>
  <c r="AZ29" i="5"/>
  <c r="BK29" i="5" s="1"/>
  <c r="AY29" i="5"/>
  <c r="AV29" i="5"/>
  <c r="AJ31" i="5"/>
  <c r="X31" i="5"/>
  <c r="AK31" i="5" s="1"/>
  <c r="W31" i="5"/>
  <c r="T31" i="5"/>
  <c r="X29" i="5"/>
  <c r="AK29" i="5" s="1"/>
  <c r="T29" i="5"/>
  <c r="AO29" i="5"/>
  <c r="AP29" i="5" s="1"/>
  <c r="DD39" i="5" s="1"/>
  <c r="AJ29" i="5"/>
  <c r="W29" i="5"/>
  <c r="C9" i="5"/>
  <c r="DD35" i="5" l="1"/>
  <c r="DE35" i="5" s="1"/>
  <c r="DF35" i="5" s="1"/>
  <c r="DG35" i="5" s="1"/>
  <c r="DI35" i="5" s="1"/>
  <c r="DD51" i="5"/>
  <c r="DE51" i="5" s="1"/>
  <c r="DG51" i="5" s="1"/>
  <c r="DI51" i="5" s="1"/>
  <c r="DD49" i="5"/>
  <c r="DE49" i="5" s="1"/>
  <c r="DG49" i="5" s="1"/>
  <c r="DI49" i="5" s="1"/>
  <c r="DD37" i="5"/>
  <c r="DE37" i="5" s="1"/>
  <c r="DF37" i="5" s="1"/>
  <c r="DG37" i="5" s="1"/>
  <c r="DI37" i="5" s="1"/>
  <c r="DD45" i="5"/>
  <c r="DE45" i="5" s="1"/>
  <c r="DF45" i="5" s="1"/>
  <c r="DG45" i="5" s="1"/>
  <c r="DI45" i="5" s="1"/>
  <c r="DD47" i="5"/>
  <c r="DE47" i="5" s="1"/>
  <c r="DF47" i="5" s="1"/>
  <c r="DG47" i="5" s="1"/>
  <c r="DI47" i="5" s="1"/>
  <c r="DD53" i="5"/>
  <c r="DE53" i="5" s="1"/>
  <c r="DF53" i="5" s="1"/>
  <c r="DG53" i="5" s="1"/>
  <c r="DI53" i="5" s="1"/>
  <c r="DD29" i="5"/>
  <c r="DE29" i="5" s="1"/>
  <c r="DF29" i="5" s="1"/>
  <c r="DG29" i="5" s="1"/>
  <c r="DI29" i="5" s="1"/>
  <c r="DD41" i="5"/>
  <c r="DE41" i="5" s="1"/>
  <c r="DG41" i="5" s="1"/>
  <c r="DI41" i="5" s="1"/>
  <c r="DD43" i="5"/>
  <c r="DE43" i="5" s="1"/>
  <c r="DG43" i="5" s="1"/>
  <c r="DI43" i="5" s="1"/>
  <c r="AQ29" i="5"/>
  <c r="AR29" i="5" s="1"/>
  <c r="DE39" i="5"/>
  <c r="DG39" i="5" s="1"/>
  <c r="DI39" i="5" s="1"/>
  <c r="BQ29" i="5"/>
  <c r="DE31" i="5"/>
  <c r="DG31" i="5" s="1"/>
  <c r="DI31" i="5" s="1"/>
  <c r="BQ31" i="5"/>
  <c r="BR31" i="5" s="1"/>
  <c r="BS31" i="5" s="1"/>
  <c r="DE33" i="5"/>
  <c r="DG33" i="5" s="1"/>
  <c r="DI33" i="5" s="1"/>
  <c r="CO39" i="5"/>
  <c r="CP39" i="5" s="1"/>
  <c r="CQ39" i="5" s="1"/>
  <c r="CO37" i="5"/>
  <c r="CP37" i="5" s="1"/>
  <c r="CQ37" i="5" s="1"/>
  <c r="CO35" i="5"/>
  <c r="CP35" i="5" s="1"/>
  <c r="CQ35" i="5" s="1"/>
  <c r="CO33" i="5"/>
  <c r="CP33" i="5" s="1"/>
  <c r="CQ33" i="5" s="1"/>
  <c r="CO31" i="5"/>
  <c r="CP31" i="5" s="1"/>
  <c r="CQ31" i="5" s="1"/>
  <c r="CO29" i="5"/>
  <c r="CP29" i="5" s="1"/>
  <c r="CQ29" i="5" s="1"/>
  <c r="BQ37" i="5"/>
  <c r="BR37" i="5" s="1"/>
  <c r="BQ35" i="5"/>
  <c r="BR35" i="5" s="1"/>
  <c r="BQ33" i="5"/>
  <c r="BR33" i="5" s="1"/>
  <c r="AQ31" i="5"/>
  <c r="AR31" i="5" s="1"/>
  <c r="BR29" i="5"/>
  <c r="AS29" i="5" l="1"/>
  <c r="CS29" i="5"/>
  <c r="CS33" i="5"/>
  <c r="CS37" i="5"/>
  <c r="CS31" i="5"/>
  <c r="CS35" i="5"/>
  <c r="CS39" i="5"/>
  <c r="BS37" i="5"/>
  <c r="BS35" i="5"/>
  <c r="BS33" i="5"/>
  <c r="AS31" i="5"/>
  <c r="BS29" i="5"/>
  <c r="DR75" i="3"/>
  <c r="DR71" i="3"/>
  <c r="DR69" i="3"/>
  <c r="DR67" i="3"/>
  <c r="DR65" i="3"/>
  <c r="DR63" i="3"/>
  <c r="W77" i="3"/>
  <c r="W75" i="3"/>
  <c r="W73" i="3"/>
  <c r="W71" i="3"/>
  <c r="W69" i="3"/>
  <c r="W67" i="3"/>
  <c r="W65" i="3"/>
  <c r="W63" i="3"/>
  <c r="DT77" i="3"/>
  <c r="ET77" i="3" s="1"/>
  <c r="DR77" i="3"/>
  <c r="DR73" i="3"/>
  <c r="DT61" i="3"/>
  <c r="ET61" i="3" s="1"/>
  <c r="DR61" i="3"/>
  <c r="BZ77" i="3"/>
  <c r="BW77" i="3"/>
  <c r="BV77" i="3"/>
  <c r="BU77" i="3"/>
  <c r="BZ75" i="3"/>
  <c r="BW75" i="3"/>
  <c r="BV75" i="3"/>
  <c r="BU75" i="3"/>
  <c r="BZ73" i="3"/>
  <c r="BW73" i="3"/>
  <c r="BV73" i="3"/>
  <c r="BU73" i="3"/>
  <c r="BZ71" i="3"/>
  <c r="BW71" i="3"/>
  <c r="BV71" i="3"/>
  <c r="BU71" i="3"/>
  <c r="BZ69" i="3"/>
  <c r="BW69" i="3"/>
  <c r="BV69" i="3"/>
  <c r="BU69" i="3"/>
  <c r="BZ67" i="3"/>
  <c r="BW67" i="3"/>
  <c r="BV67" i="3"/>
  <c r="BU67" i="3"/>
  <c r="BZ65" i="3"/>
  <c r="BW65" i="3"/>
  <c r="BV65" i="3"/>
  <c r="BU65" i="3"/>
  <c r="BZ63" i="3"/>
  <c r="BW63" i="3"/>
  <c r="BV63" i="3"/>
  <c r="BU63" i="3"/>
  <c r="BZ61" i="3"/>
  <c r="BW61" i="3"/>
  <c r="BV61" i="3"/>
  <c r="BU61" i="3"/>
  <c r="AO77" i="3"/>
  <c r="AL77" i="3"/>
  <c r="AK77" i="3"/>
  <c r="AJ77" i="3"/>
  <c r="AO75" i="3"/>
  <c r="AL75" i="3"/>
  <c r="AK75" i="3"/>
  <c r="AJ75" i="3"/>
  <c r="AO73" i="3"/>
  <c r="AL73" i="3"/>
  <c r="AK73" i="3"/>
  <c r="AJ73" i="3"/>
  <c r="AO71" i="3"/>
  <c r="AL71" i="3"/>
  <c r="AK71" i="3"/>
  <c r="AJ71" i="3"/>
  <c r="AO69" i="3"/>
  <c r="AL69" i="3"/>
  <c r="AK69" i="3"/>
  <c r="AJ69" i="3"/>
  <c r="AO67" i="3"/>
  <c r="AL67" i="3"/>
  <c r="AK67" i="3"/>
  <c r="AJ67" i="3"/>
  <c r="AO65" i="3"/>
  <c r="AL65" i="3"/>
  <c r="AK65" i="3"/>
  <c r="AJ65" i="3"/>
  <c r="AO63" i="3"/>
  <c r="AL63" i="3"/>
  <c r="AK63" i="3"/>
  <c r="AJ63" i="3"/>
  <c r="AO61" i="3"/>
  <c r="AL61" i="3"/>
  <c r="AK61" i="3"/>
  <c r="AJ61" i="3"/>
  <c r="W61" i="3"/>
  <c r="L116" i="2" l="1"/>
  <c r="L114" i="2"/>
  <c r="L108" i="2"/>
  <c r="L98" i="2"/>
  <c r="L92" i="2"/>
  <c r="BU23" i="3"/>
  <c r="DT31" i="3"/>
  <c r="ET31" i="3" s="1"/>
  <c r="DT27" i="3"/>
  <c r="ET27" i="3" s="1"/>
  <c r="DT25" i="3"/>
  <c r="ET25" i="3" s="1"/>
  <c r="DT19" i="3"/>
  <c r="ET19" i="3" s="1"/>
  <c r="DT17" i="3"/>
  <c r="ET17" i="3" s="1"/>
  <c r="DT15" i="3"/>
  <c r="ET15" i="3" s="1"/>
  <c r="DT11" i="3"/>
  <c r="ET11" i="3" s="1"/>
  <c r="DR29" i="3"/>
  <c r="DR23" i="3"/>
  <c r="DR21" i="3"/>
  <c r="DR31" i="3"/>
  <c r="DR27" i="3"/>
  <c r="DR25" i="3"/>
  <c r="DR19" i="3"/>
  <c r="DR17" i="3"/>
  <c r="DR15" i="3"/>
  <c r="DR13" i="3"/>
  <c r="DR11" i="3"/>
  <c r="AJ29" i="3" l="1"/>
  <c r="AJ23" i="3"/>
  <c r="BZ31" i="3"/>
  <c r="BW31" i="3"/>
  <c r="BU31" i="3"/>
  <c r="BZ29" i="3"/>
  <c r="BW29" i="3"/>
  <c r="BU29" i="3"/>
  <c r="BZ27" i="3"/>
  <c r="BW27" i="3"/>
  <c r="BU27" i="3"/>
  <c r="BZ25" i="3"/>
  <c r="BW25" i="3"/>
  <c r="BU25" i="3"/>
  <c r="BZ23" i="3"/>
  <c r="BW23" i="3"/>
  <c r="BZ21" i="3"/>
  <c r="BW21" i="3"/>
  <c r="BU21" i="3"/>
  <c r="BZ19" i="3"/>
  <c r="BW19" i="3"/>
  <c r="BU19" i="3"/>
  <c r="BZ17" i="3"/>
  <c r="BW17" i="3"/>
  <c r="BU17" i="3"/>
  <c r="BZ15" i="3"/>
  <c r="BW15" i="3"/>
  <c r="BU15" i="3"/>
  <c r="BZ13" i="3"/>
  <c r="BW13" i="3"/>
  <c r="BU13" i="3"/>
  <c r="BZ11" i="3"/>
  <c r="BW11" i="3"/>
  <c r="BU11" i="3"/>
  <c r="AO31" i="3"/>
  <c r="AO29" i="3"/>
  <c r="AO27" i="3"/>
  <c r="AO25" i="3"/>
  <c r="AO23" i="3"/>
  <c r="AO21" i="3"/>
  <c r="AO19" i="3"/>
  <c r="AO17" i="3"/>
  <c r="AO15" i="3"/>
  <c r="AO13" i="3"/>
  <c r="AO11" i="3"/>
  <c r="AL31" i="3"/>
  <c r="AJ31" i="3"/>
  <c r="AL29" i="3"/>
  <c r="AL27" i="3"/>
  <c r="AJ27" i="3"/>
  <c r="AL25" i="3"/>
  <c r="AJ25" i="3"/>
  <c r="AL23" i="3"/>
  <c r="AL21" i="3"/>
  <c r="AJ21" i="3"/>
  <c r="AL19" i="3"/>
  <c r="AJ19" i="3"/>
  <c r="AL17" i="3"/>
  <c r="AJ17" i="3"/>
  <c r="AL15" i="3"/>
  <c r="AJ15" i="3"/>
  <c r="AL13" i="3"/>
  <c r="AJ13" i="3"/>
  <c r="AL11" i="3"/>
  <c r="AJ11" i="3"/>
  <c r="W31" i="3"/>
  <c r="W29" i="3"/>
  <c r="W27" i="3"/>
  <c r="W25" i="3"/>
  <c r="W23" i="3"/>
  <c r="W21" i="3"/>
  <c r="W19" i="3"/>
  <c r="W17" i="3"/>
  <c r="W13" i="3"/>
  <c r="W11" i="3"/>
  <c r="H9" i="3" l="1"/>
  <c r="H4" i="3"/>
  <c r="DC77" i="3" l="1"/>
  <c r="DC73" i="3"/>
  <c r="DC69" i="3"/>
  <c r="DC65" i="3"/>
  <c r="DC61" i="3"/>
  <c r="DC75" i="3"/>
  <c r="DC71" i="3"/>
  <c r="DC67" i="3"/>
  <c r="DC63" i="3"/>
  <c r="T77" i="3"/>
  <c r="U77" i="3" s="1"/>
  <c r="T75" i="3"/>
  <c r="U75" i="3" s="1"/>
  <c r="T73" i="3"/>
  <c r="U73" i="3" s="1"/>
  <c r="T71" i="3"/>
  <c r="U71" i="3" s="1"/>
  <c r="T69" i="3"/>
  <c r="U69" i="3" s="1"/>
  <c r="T67" i="3"/>
  <c r="U67" i="3" s="1"/>
  <c r="T65" i="3"/>
  <c r="U65" i="3" s="1"/>
  <c r="T63" i="3"/>
  <c r="U63" i="3" s="1"/>
  <c r="T61" i="3"/>
  <c r="U61" i="3" s="1"/>
  <c r="DC11" i="3"/>
  <c r="DC29" i="3"/>
  <c r="DC25" i="3"/>
  <c r="DC17" i="3"/>
  <c r="DC31" i="3"/>
  <c r="DC27" i="3"/>
  <c r="DC23" i="3"/>
  <c r="DC21" i="3"/>
  <c r="DC19" i="3"/>
  <c r="DC15" i="3"/>
  <c r="DC13" i="3"/>
  <c r="AK11" i="3"/>
  <c r="DJ73" i="3" s="1"/>
  <c r="DK73" i="3" s="1"/>
  <c r="BV31" i="3"/>
  <c r="BV27" i="3"/>
  <c r="BV23" i="3"/>
  <c r="BV19" i="3"/>
  <c r="BV15" i="3"/>
  <c r="BV13" i="3"/>
  <c r="BV11" i="3"/>
  <c r="AK23" i="3"/>
  <c r="BV29" i="3"/>
  <c r="BV25" i="3"/>
  <c r="BV21" i="3"/>
  <c r="BV17" i="3"/>
  <c r="AK27" i="3"/>
  <c r="AK25" i="3"/>
  <c r="AK19" i="3"/>
  <c r="AK13" i="3"/>
  <c r="AK31" i="3"/>
  <c r="AK29" i="3"/>
  <c r="AK21" i="3"/>
  <c r="AK17" i="3"/>
  <c r="AK15" i="3"/>
  <c r="H82" i="3"/>
  <c r="H24" i="3"/>
  <c r="T31" i="3"/>
  <c r="U31" i="3" s="1"/>
  <c r="T27" i="3"/>
  <c r="U27" i="3" s="1"/>
  <c r="T23" i="3"/>
  <c r="U23" i="3" s="1"/>
  <c r="T19" i="3"/>
  <c r="U19" i="3" s="1"/>
  <c r="T15" i="3"/>
  <c r="T11" i="3"/>
  <c r="U11" i="3" s="1"/>
  <c r="T25" i="3"/>
  <c r="T21" i="3"/>
  <c r="U21" i="3" s="1"/>
  <c r="T29" i="3"/>
  <c r="U29" i="3" s="1"/>
  <c r="T17" i="3"/>
  <c r="T13" i="3"/>
  <c r="U13" i="3" s="1"/>
  <c r="V13" i="3" s="1"/>
  <c r="V63" i="3" l="1"/>
  <c r="AP63" i="3"/>
  <c r="CA63" i="3"/>
  <c r="CA67" i="3"/>
  <c r="V67" i="3"/>
  <c r="AP67" i="3"/>
  <c r="CA71" i="3"/>
  <c r="V71" i="3"/>
  <c r="AP71" i="3"/>
  <c r="CA75" i="3"/>
  <c r="V75" i="3"/>
  <c r="AP75" i="3"/>
  <c r="CA61" i="3"/>
  <c r="AP61" i="3"/>
  <c r="V61" i="3"/>
  <c r="V65" i="3"/>
  <c r="AP65" i="3"/>
  <c r="CA65" i="3"/>
  <c r="V69" i="3"/>
  <c r="AP69" i="3"/>
  <c r="CA69" i="3"/>
  <c r="V73" i="3"/>
  <c r="AP73" i="3"/>
  <c r="CA73" i="3"/>
  <c r="V77" i="3"/>
  <c r="CA77" i="3"/>
  <c r="AP77" i="3"/>
  <c r="DJ75" i="3"/>
  <c r="DK75" i="3" s="1"/>
  <c r="DJ69" i="3"/>
  <c r="DK69" i="3" s="1"/>
  <c r="DJ65" i="3"/>
  <c r="DK65" i="3" s="1"/>
  <c r="DJ71" i="3"/>
  <c r="DK71" i="3" s="1"/>
  <c r="DJ67" i="3"/>
  <c r="DK67" i="3" s="1"/>
  <c r="DJ63" i="3"/>
  <c r="DK63" i="3" s="1"/>
  <c r="DJ13" i="3"/>
  <c r="DK13" i="3" s="1"/>
  <c r="DJ23" i="3"/>
  <c r="DK23" i="3" s="1"/>
  <c r="DJ29" i="3"/>
  <c r="DK29" i="3" s="1"/>
  <c r="DJ21" i="3"/>
  <c r="DK21" i="3" s="1"/>
  <c r="U17" i="3"/>
  <c r="CA11" i="3"/>
  <c r="V11" i="3"/>
  <c r="AP19" i="3"/>
  <c r="CA19" i="3"/>
  <c r="V19" i="3"/>
  <c r="CA29" i="3"/>
  <c r="AP29" i="3"/>
  <c r="V29" i="3"/>
  <c r="U25" i="3"/>
  <c r="U15" i="3"/>
  <c r="AP23" i="3"/>
  <c r="CA23" i="3"/>
  <c r="V23" i="3"/>
  <c r="AP31" i="3"/>
  <c r="CA31" i="3"/>
  <c r="V31" i="3"/>
  <c r="CA21" i="3"/>
  <c r="AP21" i="3"/>
  <c r="V21" i="3"/>
  <c r="AP27" i="3"/>
  <c r="CA27" i="3"/>
  <c r="V27" i="3"/>
  <c r="AP11" i="3"/>
  <c r="AP13" i="3" l="1"/>
  <c r="CA13" i="3"/>
  <c r="CA17" i="3"/>
  <c r="AP17" i="3"/>
  <c r="V17" i="3"/>
  <c r="AP15" i="3"/>
  <c r="CA15" i="3"/>
  <c r="V15" i="3"/>
  <c r="CA25" i="3"/>
  <c r="AP25" i="3"/>
  <c r="V25" i="3"/>
  <c r="Y60" i="2"/>
  <c r="J13" i="2"/>
  <c r="I13" i="2"/>
  <c r="AB57" i="1"/>
  <c r="W57" i="1"/>
  <c r="N57" i="1"/>
  <c r="X57" i="1" s="1"/>
  <c r="M57" i="1"/>
  <c r="L57" i="1"/>
  <c r="K57" i="1"/>
  <c r="J57" i="1"/>
  <c r="K46" i="1"/>
  <c r="J46" i="1"/>
  <c r="L15" i="1"/>
  <c r="N15" i="1" s="1"/>
  <c r="M15" i="1"/>
  <c r="AD57" i="1" l="1"/>
  <c r="O15" i="1"/>
  <c r="P57" i="1"/>
  <c r="Q57" i="1" s="1"/>
  <c r="L46" i="1"/>
  <c r="K56" i="1"/>
  <c r="K55" i="1"/>
  <c r="K54" i="1"/>
  <c r="K53" i="1"/>
  <c r="K52" i="1"/>
  <c r="K51" i="1"/>
  <c r="J8" i="2"/>
  <c r="J9" i="2"/>
  <c r="J10" i="2"/>
  <c r="J11" i="2"/>
  <c r="J12" i="2"/>
  <c r="I8" i="2"/>
  <c r="I9" i="2"/>
  <c r="I10" i="2"/>
  <c r="I11" i="2"/>
  <c r="I12" i="2"/>
  <c r="J7" i="2"/>
  <c r="I7" i="2"/>
  <c r="K41" i="1"/>
  <c r="K42" i="1"/>
  <c r="K43" i="1"/>
  <c r="K44" i="1"/>
  <c r="K45" i="1"/>
  <c r="J41" i="1"/>
  <c r="J42" i="1"/>
  <c r="J43" i="1"/>
  <c r="J44" i="1"/>
  <c r="J45" i="1"/>
  <c r="K40" i="1"/>
  <c r="J40" i="1"/>
  <c r="AU54" i="2" l="1"/>
  <c r="AN54" i="2"/>
  <c r="AI54" i="2"/>
  <c r="AH54" i="2"/>
  <c r="BJ54" i="2" s="1"/>
  <c r="AG54" i="2"/>
  <c r="BI54" i="2" s="1"/>
  <c r="AG53" i="2"/>
  <c r="BI53" i="2" s="1"/>
  <c r="AH52" i="2"/>
  <c r="BJ52" i="2" s="1"/>
  <c r="AG52" i="2"/>
  <c r="BI52" i="2" s="1"/>
  <c r="AG51" i="2"/>
  <c r="BI51" i="2" s="1"/>
  <c r="AU52" i="2"/>
  <c r="AN52" i="2"/>
  <c r="AH50" i="2"/>
  <c r="BJ50" i="2" s="1"/>
  <c r="AG50" i="2"/>
  <c r="BI50" i="2" s="1"/>
  <c r="AG49" i="2"/>
  <c r="BI49" i="2" s="1"/>
  <c r="AU50" i="2"/>
  <c r="AN50" i="2"/>
  <c r="AN22" i="2"/>
  <c r="AN24" i="2"/>
  <c r="AI24" i="2"/>
  <c r="AH24" i="2"/>
  <c r="BJ24" i="2" s="1"/>
  <c r="AG24" i="2"/>
  <c r="BI24" i="2" s="1"/>
  <c r="AG23" i="2"/>
  <c r="BI23" i="2" s="1"/>
  <c r="AU24" i="2"/>
  <c r="AU22" i="2"/>
  <c r="AI22" i="2"/>
  <c r="AG22" i="2"/>
  <c r="BI22" i="2" s="1"/>
  <c r="AH22" i="2"/>
  <c r="AG21" i="2"/>
  <c r="D22" i="2"/>
  <c r="AY16" i="2" l="1"/>
  <c r="AX16" i="2"/>
  <c r="BI21" i="2"/>
  <c r="BJ22" i="2"/>
  <c r="Y66" i="2"/>
  <c r="S66" i="2"/>
  <c r="S64" i="2"/>
  <c r="AI52" i="2"/>
  <c r="U60" i="2"/>
  <c r="S60" i="2"/>
  <c r="Y58" i="2"/>
  <c r="S58" i="2"/>
  <c r="Y54" i="2"/>
  <c r="S54" i="2"/>
  <c r="Y52" i="2"/>
  <c r="S52" i="2"/>
  <c r="Q50" i="2"/>
  <c r="S50" i="2" s="1"/>
  <c r="Y36" i="2"/>
  <c r="Y42" i="2"/>
  <c r="U42" i="2"/>
  <c r="S42" i="2"/>
  <c r="J100" i="2" s="1"/>
  <c r="U40" i="2"/>
  <c r="S40" i="2"/>
  <c r="J98" i="2" s="1"/>
  <c r="Y38" i="2"/>
  <c r="U38" i="2"/>
  <c r="S38" i="2"/>
  <c r="J96" i="2" s="1"/>
  <c r="S26" i="2"/>
  <c r="J84" i="2" s="1"/>
  <c r="U36" i="2"/>
  <c r="S36" i="2"/>
  <c r="U34" i="2"/>
  <c r="J92" i="2"/>
  <c r="Y32" i="2"/>
  <c r="U32" i="2"/>
  <c r="S32" i="2"/>
  <c r="J90" i="2" s="1"/>
  <c r="U30" i="2"/>
  <c r="S30" i="2"/>
  <c r="J88" i="2" s="1"/>
  <c r="U28" i="2"/>
  <c r="S28" i="2"/>
  <c r="J86" i="2" s="1"/>
  <c r="Y26" i="2"/>
  <c r="U26" i="2"/>
  <c r="T36" i="2" l="1"/>
  <c r="V36" i="2" s="1"/>
  <c r="K94" i="2" s="1"/>
  <c r="J94" i="2"/>
  <c r="O63" i="3"/>
  <c r="J104" i="2"/>
  <c r="O65" i="3"/>
  <c r="J106" i="2"/>
  <c r="O69" i="3"/>
  <c r="J110" i="2"/>
  <c r="O71" i="3"/>
  <c r="J112" i="2"/>
  <c r="O77" i="3"/>
  <c r="J118" i="2"/>
  <c r="T50" i="2"/>
  <c r="V50" i="2" s="1"/>
  <c r="P61" i="3" s="1"/>
  <c r="O61" i="3"/>
  <c r="DZ61" i="3" s="1"/>
  <c r="J102" i="2"/>
  <c r="J116" i="2"/>
  <c r="O75" i="3"/>
  <c r="O17" i="3"/>
  <c r="O27" i="3"/>
  <c r="O25" i="3"/>
  <c r="O15" i="3"/>
  <c r="O31" i="3"/>
  <c r="O21" i="3"/>
  <c r="L39" i="5" s="1"/>
  <c r="O19" i="3"/>
  <c r="L37" i="5" s="1"/>
  <c r="O23" i="3"/>
  <c r="L41" i="5" s="1"/>
  <c r="AJ24" i="2"/>
  <c r="O29" i="3"/>
  <c r="S56" i="2"/>
  <c r="AI50" i="2"/>
  <c r="AJ54" i="2"/>
  <c r="V40" i="2"/>
  <c r="K98" i="2" s="1"/>
  <c r="S62" i="2"/>
  <c r="O73" i="3" s="1"/>
  <c r="V42" i="2"/>
  <c r="K100" i="2" s="1"/>
  <c r="V58" i="2"/>
  <c r="T66" i="2"/>
  <c r="V66" i="2" s="1"/>
  <c r="T26" i="2"/>
  <c r="V26" i="2" s="1"/>
  <c r="K84" i="2" s="1"/>
  <c r="V60" i="2"/>
  <c r="V54" i="2"/>
  <c r="V52" i="2"/>
  <c r="V38" i="2"/>
  <c r="K96" i="2" s="1"/>
  <c r="V32" i="2"/>
  <c r="K90" i="2" s="1"/>
  <c r="V30" i="2"/>
  <c r="K88" i="2" s="1"/>
  <c r="T28" i="2"/>
  <c r="V28" i="2" s="1"/>
  <c r="K86" i="2" s="1"/>
  <c r="U24" i="2"/>
  <c r="Q24" i="2"/>
  <c r="J82" i="2" s="1"/>
  <c r="Y22" i="2"/>
  <c r="U22" i="2"/>
  <c r="S22" i="2"/>
  <c r="J80" i="2" s="1"/>
  <c r="L10" i="1"/>
  <c r="L11" i="1"/>
  <c r="L12" i="1"/>
  <c r="L13" i="1"/>
  <c r="L14" i="1"/>
  <c r="L9" i="1"/>
  <c r="D19" i="2"/>
  <c r="D64" i="1"/>
  <c r="S50" i="1"/>
  <c r="L52" i="1"/>
  <c r="L53" i="1"/>
  <c r="L54" i="1"/>
  <c r="L55" i="1"/>
  <c r="L56" i="1"/>
  <c r="L51" i="1"/>
  <c r="J52" i="1"/>
  <c r="J53" i="1"/>
  <c r="J54" i="1"/>
  <c r="J55" i="1"/>
  <c r="J56" i="1"/>
  <c r="J51" i="1"/>
  <c r="DZ73" i="3" l="1"/>
  <c r="L63" i="5"/>
  <c r="DZ21" i="3"/>
  <c r="DZ15" i="3"/>
  <c r="L33" i="5"/>
  <c r="DZ27" i="3"/>
  <c r="L45" i="5"/>
  <c r="DZ75" i="3"/>
  <c r="L65" i="5"/>
  <c r="EA61" i="3"/>
  <c r="M51" i="5"/>
  <c r="DZ77" i="3"/>
  <c r="L67" i="5"/>
  <c r="DZ71" i="3"/>
  <c r="L61" i="5"/>
  <c r="DZ69" i="3"/>
  <c r="L59" i="5"/>
  <c r="DZ65" i="3"/>
  <c r="L55" i="5"/>
  <c r="DZ63" i="3"/>
  <c r="L53" i="5"/>
  <c r="DZ29" i="3"/>
  <c r="L47" i="5"/>
  <c r="DZ23" i="3"/>
  <c r="DZ19" i="3"/>
  <c r="DZ31" i="3"/>
  <c r="L49" i="5"/>
  <c r="DZ25" i="3"/>
  <c r="L43" i="5"/>
  <c r="DZ17" i="3"/>
  <c r="L35" i="5"/>
  <c r="L51" i="5"/>
  <c r="CY21" i="3"/>
  <c r="CY27" i="3"/>
  <c r="CY29" i="3"/>
  <c r="CY23" i="3"/>
  <c r="CY19" i="3"/>
  <c r="CY31" i="3"/>
  <c r="W54" i="2"/>
  <c r="P65" i="3"/>
  <c r="K106" i="2"/>
  <c r="W58" i="2"/>
  <c r="P69" i="3"/>
  <c r="K110" i="2"/>
  <c r="AD61" i="3"/>
  <c r="CZ61" i="3"/>
  <c r="BO61" i="3"/>
  <c r="CY61" i="3"/>
  <c r="BN61" i="3"/>
  <c r="BS61" i="3" s="1"/>
  <c r="AC61" i="3"/>
  <c r="AH61" i="3" s="1"/>
  <c r="W52" i="2"/>
  <c r="P63" i="3"/>
  <c r="K104" i="2"/>
  <c r="W60" i="2"/>
  <c r="P71" i="3"/>
  <c r="K112" i="2"/>
  <c r="P77" i="3"/>
  <c r="K118" i="2"/>
  <c r="AC73" i="3"/>
  <c r="AH73" i="3" s="1"/>
  <c r="DN73" i="3" s="1"/>
  <c r="CY73" i="3"/>
  <c r="BN73" i="3"/>
  <c r="BS73" i="3" s="1"/>
  <c r="AJ50" i="2"/>
  <c r="O67" i="3"/>
  <c r="J108" i="2"/>
  <c r="AC75" i="3"/>
  <c r="AH75" i="3" s="1"/>
  <c r="DN75" i="3" s="1"/>
  <c r="CY75" i="3"/>
  <c r="BN75" i="3"/>
  <c r="BS75" i="3" s="1"/>
  <c r="CY77" i="3"/>
  <c r="BN77" i="3"/>
  <c r="BS77" i="3" s="1"/>
  <c r="AC77" i="3"/>
  <c r="AH77" i="3" s="1"/>
  <c r="CY71" i="3"/>
  <c r="AC71" i="3"/>
  <c r="AH71" i="3" s="1"/>
  <c r="DN71" i="3" s="1"/>
  <c r="BN71" i="3"/>
  <c r="BS71" i="3" s="1"/>
  <c r="AC69" i="3"/>
  <c r="AH69" i="3" s="1"/>
  <c r="DN69" i="3" s="1"/>
  <c r="CY69" i="3"/>
  <c r="BN69" i="3"/>
  <c r="BS69" i="3" s="1"/>
  <c r="AC65" i="3"/>
  <c r="AH65" i="3" s="1"/>
  <c r="DN65" i="3" s="1"/>
  <c r="CY65" i="3"/>
  <c r="BN65" i="3"/>
  <c r="BS65" i="3" s="1"/>
  <c r="BN63" i="3"/>
  <c r="BS63" i="3" s="1"/>
  <c r="CY63" i="3"/>
  <c r="AC63" i="3"/>
  <c r="AH63" i="3" s="1"/>
  <c r="DN63" i="3" s="1"/>
  <c r="AJ52" i="2"/>
  <c r="J114" i="2"/>
  <c r="W50" i="2"/>
  <c r="K102" i="2"/>
  <c r="AC31" i="3"/>
  <c r="AH31" i="3" s="1"/>
  <c r="AC21" i="3"/>
  <c r="AH21" i="3" s="1"/>
  <c r="DN21" i="3" s="1"/>
  <c r="AC27" i="3"/>
  <c r="AH27" i="3" s="1"/>
  <c r="BN21" i="3"/>
  <c r="BS21" i="3" s="1"/>
  <c r="BN31" i="3"/>
  <c r="BS31" i="3" s="1"/>
  <c r="AC19" i="3"/>
  <c r="AH19" i="3" s="1"/>
  <c r="BN27" i="3"/>
  <c r="BS27" i="3" s="1"/>
  <c r="W36" i="2"/>
  <c r="P25" i="3"/>
  <c r="AC15" i="3"/>
  <c r="AH15" i="3" s="1"/>
  <c r="CY15" i="3"/>
  <c r="BN15" i="3"/>
  <c r="BS15" i="3" s="1"/>
  <c r="AC25" i="3"/>
  <c r="AH25" i="3" s="1"/>
  <c r="CY25" i="3"/>
  <c r="BN25" i="3"/>
  <c r="BS25" i="3" s="1"/>
  <c r="AC17" i="3"/>
  <c r="AH17" i="3" s="1"/>
  <c r="CY17" i="3"/>
  <c r="BN17" i="3"/>
  <c r="BS17" i="3" s="1"/>
  <c r="O11" i="3"/>
  <c r="W28" i="2"/>
  <c r="P17" i="3"/>
  <c r="W26" i="2"/>
  <c r="P15" i="3"/>
  <c r="BN19" i="3"/>
  <c r="BS19" i="3" s="1"/>
  <c r="AC29" i="3"/>
  <c r="AH29" i="3" s="1"/>
  <c r="DN29" i="3" s="1"/>
  <c r="BN29" i="3"/>
  <c r="BS29" i="3" s="1"/>
  <c r="AC23" i="3"/>
  <c r="AH23" i="3" s="1"/>
  <c r="DN23" i="3" s="1"/>
  <c r="BN23" i="3"/>
  <c r="BS23" i="3" s="1"/>
  <c r="W42" i="2"/>
  <c r="P31" i="3"/>
  <c r="W38" i="2"/>
  <c r="P27" i="3"/>
  <c r="W30" i="2"/>
  <c r="P19" i="3"/>
  <c r="W32" i="2"/>
  <c r="P21" i="3"/>
  <c r="AL24" i="2"/>
  <c r="AM24" i="2" s="1"/>
  <c r="P29" i="3"/>
  <c r="V56" i="2"/>
  <c r="W66" i="2"/>
  <c r="AL54" i="2"/>
  <c r="AM54" i="2" s="1"/>
  <c r="V64" i="2"/>
  <c r="AK54" i="2"/>
  <c r="AK24" i="2"/>
  <c r="AK52" i="2"/>
  <c r="K92" i="2"/>
  <c r="AK22" i="2"/>
  <c r="V24" i="2"/>
  <c r="V22" i="2"/>
  <c r="K80" i="2" s="1"/>
  <c r="AB52" i="1"/>
  <c r="AB53" i="1"/>
  <c r="AB54" i="1"/>
  <c r="AB55" i="1"/>
  <c r="AB56" i="1"/>
  <c r="AB51" i="1"/>
  <c r="F64" i="1" s="1"/>
  <c r="K82" i="2" l="1"/>
  <c r="W24" i="2"/>
  <c r="EA29" i="3"/>
  <c r="M47" i="5"/>
  <c r="EA21" i="3"/>
  <c r="M39" i="5"/>
  <c r="EA19" i="3"/>
  <c r="M37" i="5"/>
  <c r="EA27" i="3"/>
  <c r="M45" i="5"/>
  <c r="EA31" i="3"/>
  <c r="M49" i="5"/>
  <c r="DZ67" i="3"/>
  <c r="L57" i="5"/>
  <c r="EA77" i="3"/>
  <c r="M67" i="5"/>
  <c r="EA71" i="3"/>
  <c r="M61" i="5"/>
  <c r="EA69" i="3"/>
  <c r="M59" i="5"/>
  <c r="EA15" i="3"/>
  <c r="M33" i="5"/>
  <c r="EA17" i="3"/>
  <c r="M35" i="5"/>
  <c r="DZ11" i="3"/>
  <c r="L29" i="5"/>
  <c r="EA25" i="3"/>
  <c r="M43" i="5"/>
  <c r="DZ13" i="3"/>
  <c r="L31" i="5"/>
  <c r="EA63" i="3"/>
  <c r="M53" i="5"/>
  <c r="EA65" i="3"/>
  <c r="M55" i="5"/>
  <c r="AC67" i="3"/>
  <c r="AH67" i="3" s="1"/>
  <c r="DN67" i="3" s="1"/>
  <c r="CY67" i="3"/>
  <c r="BN67" i="3"/>
  <c r="BS67" i="3" s="1"/>
  <c r="CZ77" i="3"/>
  <c r="DD77" i="3" s="1"/>
  <c r="DE77" i="3" s="1"/>
  <c r="BO77" i="3"/>
  <c r="AD77" i="3"/>
  <c r="BO71" i="3"/>
  <c r="AD71" i="3"/>
  <c r="CZ71" i="3"/>
  <c r="DD71" i="3" s="1"/>
  <c r="DE71" i="3" s="1"/>
  <c r="DD61" i="3"/>
  <c r="DE61" i="3" s="1"/>
  <c r="CZ65" i="3"/>
  <c r="DD65" i="3" s="1"/>
  <c r="DE65" i="3" s="1"/>
  <c r="BO65" i="3"/>
  <c r="AD65" i="3"/>
  <c r="AL52" i="2"/>
  <c r="AM52" i="2" s="1"/>
  <c r="AV52" i="2" s="1"/>
  <c r="AW52" i="2" s="1"/>
  <c r="P75" i="3"/>
  <c r="K116" i="2"/>
  <c r="AL50" i="2"/>
  <c r="AM50" i="2" s="1"/>
  <c r="P67" i="3"/>
  <c r="K108" i="2"/>
  <c r="CZ63" i="3"/>
  <c r="DD63" i="3" s="1"/>
  <c r="DE63" i="3" s="1"/>
  <c r="BO63" i="3"/>
  <c r="AD63" i="3"/>
  <c r="AD69" i="3"/>
  <c r="BO69" i="3"/>
  <c r="CZ69" i="3"/>
  <c r="DD69" i="3" s="1"/>
  <c r="DE69" i="3" s="1"/>
  <c r="P11" i="3"/>
  <c r="AD15" i="3"/>
  <c r="CZ15" i="3"/>
  <c r="DD15" i="3" s="1"/>
  <c r="DE15" i="3" s="1"/>
  <c r="BO15" i="3"/>
  <c r="AC11" i="3"/>
  <c r="AH11" i="3" s="1"/>
  <c r="CY11" i="3"/>
  <c r="BN11" i="3"/>
  <c r="BS11" i="3" s="1"/>
  <c r="AC13" i="3"/>
  <c r="BN13" i="3"/>
  <c r="BS13" i="3" s="1"/>
  <c r="CY13" i="3"/>
  <c r="P13" i="3"/>
  <c r="AD17" i="3"/>
  <c r="BO17" i="3"/>
  <c r="CZ17" i="3"/>
  <c r="DD17" i="3" s="1"/>
  <c r="DE17" i="3" s="1"/>
  <c r="AD25" i="3"/>
  <c r="CZ25" i="3"/>
  <c r="DD25" i="3" s="1"/>
  <c r="DE25" i="3" s="1"/>
  <c r="BO25" i="3"/>
  <c r="BO29" i="3"/>
  <c r="CZ29" i="3"/>
  <c r="DD29" i="3" s="1"/>
  <c r="DE29" i="3" s="1"/>
  <c r="BO21" i="3"/>
  <c r="CZ21" i="3"/>
  <c r="DD21" i="3" s="1"/>
  <c r="DE21" i="3" s="1"/>
  <c r="BO19" i="3"/>
  <c r="CZ19" i="3"/>
  <c r="DD19" i="3" s="1"/>
  <c r="DE19" i="3" s="1"/>
  <c r="BO27" i="3"/>
  <c r="CZ27" i="3"/>
  <c r="DD27" i="3" s="1"/>
  <c r="DE27" i="3" s="1"/>
  <c r="BO31" i="3"/>
  <c r="CZ31" i="3"/>
  <c r="DD31" i="3" s="1"/>
  <c r="DE31" i="3" s="1"/>
  <c r="AD27" i="3"/>
  <c r="AD31" i="3"/>
  <c r="AD21" i="3"/>
  <c r="AD19" i="3"/>
  <c r="AL22" i="2"/>
  <c r="AM22" i="2" s="1"/>
  <c r="AD29" i="3"/>
  <c r="AK50" i="2"/>
  <c r="V62" i="2"/>
  <c r="W22" i="2"/>
  <c r="AD52" i="1"/>
  <c r="AD53" i="1"/>
  <c r="AD54" i="1"/>
  <c r="AD55" i="1"/>
  <c r="AD56" i="1"/>
  <c r="AD51" i="1"/>
  <c r="N52" i="1"/>
  <c r="X52" i="1" s="1"/>
  <c r="N53" i="1"/>
  <c r="X53" i="1" s="1"/>
  <c r="N54" i="1"/>
  <c r="X54" i="1" s="1"/>
  <c r="N55" i="1"/>
  <c r="X55" i="1" s="1"/>
  <c r="N56" i="1"/>
  <c r="X56" i="1" s="1"/>
  <c r="N51" i="1"/>
  <c r="X51" i="1" s="1"/>
  <c r="AH13" i="3" l="1"/>
  <c r="DN13" i="3" s="1"/>
  <c r="EA23" i="3"/>
  <c r="M41" i="5"/>
  <c r="EA13" i="3"/>
  <c r="M31" i="5"/>
  <c r="EA75" i="3"/>
  <c r="M65" i="5"/>
  <c r="EA11" i="3"/>
  <c r="M29" i="5"/>
  <c r="EA67" i="3"/>
  <c r="M57" i="5"/>
  <c r="CZ67" i="3"/>
  <c r="DD67" i="3" s="1"/>
  <c r="DE67" i="3" s="1"/>
  <c r="AD67" i="3"/>
  <c r="BO67" i="3"/>
  <c r="P73" i="3"/>
  <c r="K114" i="2"/>
  <c r="BO75" i="3"/>
  <c r="AD75" i="3"/>
  <c r="CZ75" i="3"/>
  <c r="DD75" i="3" s="1"/>
  <c r="DE75" i="3" s="1"/>
  <c r="AD13" i="3"/>
  <c r="CZ13" i="3"/>
  <c r="DD13" i="3" s="1"/>
  <c r="DE13" i="3" s="1"/>
  <c r="BO13" i="3"/>
  <c r="AD11" i="3"/>
  <c r="CZ11" i="3"/>
  <c r="DD11" i="3" s="1"/>
  <c r="DE11" i="3" s="1"/>
  <c r="BO11" i="3"/>
  <c r="BO23" i="3"/>
  <c r="CZ23" i="3"/>
  <c r="DD23" i="3" s="1"/>
  <c r="DE23" i="3" s="1"/>
  <c r="AD23" i="3"/>
  <c r="BL52" i="2"/>
  <c r="BS52" i="2"/>
  <c r="P51" i="1"/>
  <c r="D20" i="2" s="1"/>
  <c r="D45" i="1"/>
  <c r="W56" i="1"/>
  <c r="M56" i="1"/>
  <c r="P56" i="1"/>
  <c r="W55" i="1"/>
  <c r="M55" i="1"/>
  <c r="P55" i="1"/>
  <c r="W54" i="1"/>
  <c r="M54" i="1"/>
  <c r="P54" i="1"/>
  <c r="W53" i="1"/>
  <c r="M53" i="1"/>
  <c r="P53" i="1"/>
  <c r="W52" i="1"/>
  <c r="M52" i="1"/>
  <c r="P52" i="1"/>
  <c r="W51" i="1"/>
  <c r="M51" i="1"/>
  <c r="L44" i="1"/>
  <c r="L42" i="1"/>
  <c r="L40" i="1"/>
  <c r="C27" i="1"/>
  <c r="C22" i="1"/>
  <c r="E22" i="1" s="1"/>
  <c r="E21" i="1"/>
  <c r="E20" i="1"/>
  <c r="E19" i="1"/>
  <c r="O10" i="1"/>
  <c r="O11" i="1"/>
  <c r="O12" i="1"/>
  <c r="O13" i="1"/>
  <c r="O14" i="1"/>
  <c r="O9" i="1"/>
  <c r="M14" i="1"/>
  <c r="M13" i="1"/>
  <c r="M12" i="1"/>
  <c r="M11" i="1"/>
  <c r="M10" i="1"/>
  <c r="EA73" i="3" l="1"/>
  <c r="M63" i="5"/>
  <c r="CZ73" i="3"/>
  <c r="DD73" i="3" s="1"/>
  <c r="DE73" i="3" s="1"/>
  <c r="AD73" i="3"/>
  <c r="BO73" i="3"/>
  <c r="Q53" i="1"/>
  <c r="N14" i="1"/>
  <c r="N12" i="1"/>
  <c r="N10" i="1"/>
  <c r="N13" i="1"/>
  <c r="N11" i="1"/>
  <c r="E23" i="1"/>
  <c r="C32" i="1" s="1"/>
  <c r="Q51" i="1"/>
  <c r="Q52" i="1"/>
  <c r="Q55" i="1"/>
  <c r="Q56" i="1"/>
  <c r="L41" i="1"/>
  <c r="L43" i="1"/>
  <c r="L45" i="1"/>
  <c r="Q54" i="1"/>
  <c r="S46" i="1" l="1"/>
  <c r="U46" i="1" s="1"/>
  <c r="T46" i="1"/>
  <c r="R46" i="1"/>
  <c r="Q46" i="1"/>
  <c r="C11" i="2"/>
  <c r="K13" i="2" s="1"/>
  <c r="T41" i="1"/>
  <c r="T43" i="1"/>
  <c r="T45" i="1"/>
  <c r="S42" i="1"/>
  <c r="U42" i="1" s="1"/>
  <c r="S44" i="1"/>
  <c r="U44" i="1" s="1"/>
  <c r="R41" i="1"/>
  <c r="R43" i="1"/>
  <c r="R45" i="1"/>
  <c r="S40" i="1"/>
  <c r="U40" i="1" s="1"/>
  <c r="Q41" i="1"/>
  <c r="Q43" i="1"/>
  <c r="Q45" i="1"/>
  <c r="T42" i="1"/>
  <c r="T44" i="1"/>
  <c r="S41" i="1"/>
  <c r="U41" i="1" s="1"/>
  <c r="S43" i="1"/>
  <c r="U43" i="1" s="1"/>
  <c r="S45" i="1"/>
  <c r="U45" i="1" s="1"/>
  <c r="R42" i="1"/>
  <c r="R44" i="1"/>
  <c r="T40" i="1"/>
  <c r="R40" i="1"/>
  <c r="Q42" i="1"/>
  <c r="Q44" i="1"/>
  <c r="Q40" i="1"/>
  <c r="V40" i="1" l="1"/>
  <c r="S57" i="1" s="1"/>
  <c r="T57" i="1" s="1"/>
  <c r="U57" i="1" s="1"/>
  <c r="V57" i="1" s="1"/>
  <c r="Y57" i="1" s="1"/>
  <c r="Z57" i="1" s="1"/>
  <c r="AA57" i="1" s="1"/>
  <c r="L13" i="2"/>
  <c r="M13" i="2"/>
  <c r="K8" i="2"/>
  <c r="K10" i="2"/>
  <c r="K12" i="2"/>
  <c r="K9" i="2"/>
  <c r="K11" i="2"/>
  <c r="K7" i="2"/>
  <c r="D52" i="1" l="1"/>
  <c r="M7" i="2"/>
  <c r="X50" i="2" s="1"/>
  <c r="Z50" i="2" s="1"/>
  <c r="L7" i="2"/>
  <c r="X66" i="2"/>
  <c r="AO54" i="2"/>
  <c r="X36" i="2"/>
  <c r="X42" i="2"/>
  <c r="S52" i="1"/>
  <c r="T52" i="1" s="1"/>
  <c r="U52" i="1" s="1"/>
  <c r="V52" i="1" s="1"/>
  <c r="Y52" i="1" s="1"/>
  <c r="S54" i="1"/>
  <c r="T54" i="1" s="1"/>
  <c r="U54" i="1" s="1"/>
  <c r="V54" i="1" s="1"/>
  <c r="Y54" i="1" s="1"/>
  <c r="S56" i="1"/>
  <c r="T56" i="1" s="1"/>
  <c r="U56" i="1" s="1"/>
  <c r="V56" i="1" s="1"/>
  <c r="Y56" i="1" s="1"/>
  <c r="Z56" i="1" s="1"/>
  <c r="AA56" i="1" s="1"/>
  <c r="S53" i="1"/>
  <c r="T53" i="1" s="1"/>
  <c r="U53" i="1" s="1"/>
  <c r="V53" i="1" s="1"/>
  <c r="Y53" i="1" s="1"/>
  <c r="S55" i="1"/>
  <c r="T55" i="1" s="1"/>
  <c r="U55" i="1" s="1"/>
  <c r="V55" i="1" s="1"/>
  <c r="S51" i="1"/>
  <c r="T51" i="1" s="1"/>
  <c r="U51" i="1" s="1"/>
  <c r="V51" i="1" s="1"/>
  <c r="Y51" i="1" s="1"/>
  <c r="L9" i="2"/>
  <c r="L10" i="2"/>
  <c r="M10" i="2"/>
  <c r="L11" i="2"/>
  <c r="M11" i="2"/>
  <c r="M12" i="2"/>
  <c r="L12" i="2"/>
  <c r="M8" i="2"/>
  <c r="L8" i="2"/>
  <c r="AO50" i="2" s="1"/>
  <c r="X32" i="2" l="1"/>
  <c r="Y55" i="1"/>
  <c r="Z55" i="1" s="1"/>
  <c r="AA55" i="1" s="1"/>
  <c r="X60" i="2"/>
  <c r="AQ54" i="2"/>
  <c r="AX54" i="2" s="1"/>
  <c r="AP24" i="2"/>
  <c r="AX24" i="2" s="1"/>
  <c r="AY24" i="2" s="1"/>
  <c r="AP22" i="2"/>
  <c r="AX22" i="2" s="1"/>
  <c r="AO52" i="2"/>
  <c r="AX52" i="2" s="1"/>
  <c r="AP50" i="2"/>
  <c r="AX50" i="2" s="1"/>
  <c r="AV50" i="2"/>
  <c r="Z66" i="2"/>
  <c r="AC66" i="2" s="1"/>
  <c r="AQ22" i="2"/>
  <c r="X28" i="2"/>
  <c r="Z28" i="2" s="1"/>
  <c r="X58" i="2"/>
  <c r="X54" i="2"/>
  <c r="X38" i="2"/>
  <c r="Z38" i="2" s="1"/>
  <c r="X52" i="2"/>
  <c r="Z52" i="2" s="1"/>
  <c r="X24" i="2"/>
  <c r="Z24" i="2" s="1"/>
  <c r="Z42" i="2"/>
  <c r="Z36" i="2"/>
  <c r="AO24" i="2"/>
  <c r="AV24" i="2" s="1"/>
  <c r="BA16" i="2" s="1"/>
  <c r="AO22" i="2"/>
  <c r="AV22" i="2" s="1"/>
  <c r="X22" i="2"/>
  <c r="X30" i="2"/>
  <c r="Z30" i="2" s="1"/>
  <c r="AB50" i="2"/>
  <c r="AA50" i="2"/>
  <c r="AC50" i="2"/>
  <c r="Z51" i="1"/>
  <c r="AA51" i="1" s="1"/>
  <c r="Z52" i="1"/>
  <c r="AA52" i="1" s="1"/>
  <c r="Z53" i="1"/>
  <c r="AA53" i="1" s="1"/>
  <c r="Z54" i="1"/>
  <c r="AA54" i="1" s="1"/>
  <c r="AW22" i="2" l="1"/>
  <c r="BA17" i="2"/>
  <c r="BB17" i="2"/>
  <c r="BB16" i="2"/>
  <c r="AY22" i="2"/>
  <c r="AC24" i="2"/>
  <c r="AA24" i="2"/>
  <c r="N51" i="5"/>
  <c r="O51" i="5" s="1"/>
  <c r="CD33" i="5" s="1"/>
  <c r="P51" i="5"/>
  <c r="CA29" i="5" s="1"/>
  <c r="Z60" i="2"/>
  <c r="AB60" i="2" s="1"/>
  <c r="AZ22" i="2" s="1"/>
  <c r="Z54" i="2"/>
  <c r="AC54" i="2" s="1"/>
  <c r="Z22" i="2"/>
  <c r="AC22" i="2" s="1"/>
  <c r="Z26" i="2"/>
  <c r="Z32" i="2"/>
  <c r="AA32" i="2" s="1"/>
  <c r="Z58" i="2"/>
  <c r="AB58" i="2" s="1"/>
  <c r="Q118" i="2"/>
  <c r="Q67" i="5"/>
  <c r="Q102" i="2"/>
  <c r="Q51" i="5"/>
  <c r="CA33" i="5" s="1"/>
  <c r="Q80" i="2"/>
  <c r="P102" i="2"/>
  <c r="S61" i="3"/>
  <c r="DA61" i="3" s="1"/>
  <c r="DF61" i="3" s="1"/>
  <c r="L102" i="2"/>
  <c r="R61" i="3"/>
  <c r="BP61" i="3" s="1"/>
  <c r="BQ61" i="3" s="1"/>
  <c r="BT61" i="3" s="1"/>
  <c r="Q61" i="3"/>
  <c r="AE61" i="3" s="1"/>
  <c r="AF61" i="3" s="1"/>
  <c r="AI61" i="3" s="1"/>
  <c r="BT22" i="2"/>
  <c r="AA66" i="2"/>
  <c r="AB66" i="2"/>
  <c r="AW50" i="2"/>
  <c r="AY50" i="2"/>
  <c r="AY52" i="2"/>
  <c r="AV54" i="2"/>
  <c r="BT24" i="2"/>
  <c r="BM24" i="2"/>
  <c r="AB24" i="2"/>
  <c r="S13" i="3" s="1"/>
  <c r="AA36" i="2"/>
  <c r="AB36" i="2"/>
  <c r="AC36" i="2"/>
  <c r="AB52" i="2"/>
  <c r="AC52" i="2"/>
  <c r="AA52" i="2"/>
  <c r="AA30" i="2"/>
  <c r="AC30" i="2"/>
  <c r="AB30" i="2"/>
  <c r="AW24" i="2"/>
  <c r="AC42" i="2"/>
  <c r="AA42" i="2"/>
  <c r="AB42" i="2"/>
  <c r="AA38" i="2"/>
  <c r="AB38" i="2"/>
  <c r="AC38" i="2"/>
  <c r="AB28" i="2"/>
  <c r="AC28" i="2"/>
  <c r="AA28" i="2"/>
  <c r="BC17" i="2" l="1"/>
  <c r="BD17" i="2" s="1"/>
  <c r="BC16" i="2"/>
  <c r="BD16" i="2" s="1"/>
  <c r="AB54" i="2"/>
  <c r="P55" i="5" s="1"/>
  <c r="Z29" i="5" s="1"/>
  <c r="AC58" i="2"/>
  <c r="Q110" i="2" s="1"/>
  <c r="CD29" i="5"/>
  <c r="N53" i="5"/>
  <c r="BE29" i="5" s="1"/>
  <c r="P53" i="5"/>
  <c r="BA29" i="5" s="1"/>
  <c r="P67" i="5"/>
  <c r="CA39" i="5" s="1"/>
  <c r="N67" i="5"/>
  <c r="CD35" i="5" s="1"/>
  <c r="P59" i="5"/>
  <c r="Z31" i="5" s="1"/>
  <c r="N39" i="5"/>
  <c r="AG29" i="5" s="1"/>
  <c r="Q29" i="5"/>
  <c r="BB29" i="5" s="1"/>
  <c r="P61" i="5"/>
  <c r="AA54" i="2"/>
  <c r="Q65" i="3" s="1"/>
  <c r="AE65" i="3" s="1"/>
  <c r="AF65" i="3" s="1"/>
  <c r="AI65" i="3" s="1"/>
  <c r="AA58" i="2"/>
  <c r="BA22" i="2"/>
  <c r="AB32" i="2"/>
  <c r="S21" i="3" s="1"/>
  <c r="DA21" i="3" s="1"/>
  <c r="DG21" i="3" s="1"/>
  <c r="DH21" i="3" s="1"/>
  <c r="AA22" i="2"/>
  <c r="AA60" i="2"/>
  <c r="Q71" i="3" s="1"/>
  <c r="AE71" i="3" s="1"/>
  <c r="AF71" i="3" s="1"/>
  <c r="AI71" i="3" s="1"/>
  <c r="AC60" i="2"/>
  <c r="AB22" i="2"/>
  <c r="P112" i="2"/>
  <c r="AZ24" i="2"/>
  <c r="BB24" i="2" s="1"/>
  <c r="AC32" i="2"/>
  <c r="S71" i="3"/>
  <c r="DA71" i="3" s="1"/>
  <c r="DG71" i="3" s="1"/>
  <c r="DH71" i="3" s="1"/>
  <c r="AA26" i="2"/>
  <c r="AC26" i="2"/>
  <c r="AB26" i="2"/>
  <c r="L86" i="2"/>
  <c r="N35" i="5"/>
  <c r="O35" i="5" s="1"/>
  <c r="L96" i="2"/>
  <c r="N45" i="5"/>
  <c r="Q100" i="2"/>
  <c r="Q49" i="5"/>
  <c r="CB39" i="5" s="1"/>
  <c r="L88" i="2"/>
  <c r="N37" i="5"/>
  <c r="Q82" i="2"/>
  <c r="Q31" i="5"/>
  <c r="BB31" i="5" s="1"/>
  <c r="L82" i="2"/>
  <c r="N31" i="5"/>
  <c r="Q86" i="2"/>
  <c r="Q35" i="5"/>
  <c r="P96" i="2"/>
  <c r="P45" i="5"/>
  <c r="CB37" i="5" s="1"/>
  <c r="O39" i="5"/>
  <c r="AF31" i="5" s="1"/>
  <c r="L100" i="2"/>
  <c r="N49" i="5"/>
  <c r="Q88" i="2"/>
  <c r="Q37" i="5"/>
  <c r="AA29" i="5" s="1"/>
  <c r="Q104" i="2"/>
  <c r="Q53" i="5"/>
  <c r="Y29" i="5" s="1"/>
  <c r="Q94" i="2"/>
  <c r="Q43" i="5"/>
  <c r="CB35" i="5" s="1"/>
  <c r="L94" i="2"/>
  <c r="N43" i="5"/>
  <c r="O43" i="5" s="1"/>
  <c r="CE35" i="5" s="1"/>
  <c r="P82" i="2"/>
  <c r="P31" i="5"/>
  <c r="BC29" i="5" s="1"/>
  <c r="P86" i="2"/>
  <c r="P35" i="5"/>
  <c r="Q96" i="2"/>
  <c r="Q45" i="5"/>
  <c r="BB35" i="5" s="1"/>
  <c r="P100" i="2"/>
  <c r="P49" i="5"/>
  <c r="BC37" i="5" s="1"/>
  <c r="P88" i="2"/>
  <c r="P37" i="5"/>
  <c r="CB33" i="5" s="1"/>
  <c r="CC33" i="5" s="1"/>
  <c r="CJ33" i="5" s="1"/>
  <c r="Q106" i="2"/>
  <c r="Q55" i="5"/>
  <c r="P94" i="2"/>
  <c r="P43" i="5"/>
  <c r="Q63" i="3"/>
  <c r="AE63" i="3" s="1"/>
  <c r="AF63" i="3" s="1"/>
  <c r="AI63" i="3" s="1"/>
  <c r="R63" i="3"/>
  <c r="BP63" i="3" s="1"/>
  <c r="BQ63" i="3" s="1"/>
  <c r="BT63" i="3" s="1"/>
  <c r="L104" i="2"/>
  <c r="S63" i="3"/>
  <c r="DA63" i="3" s="1"/>
  <c r="P104" i="2"/>
  <c r="R77" i="3"/>
  <c r="BP77" i="3" s="1"/>
  <c r="BQ77" i="3" s="1"/>
  <c r="BT77" i="3" s="1"/>
  <c r="Q77" i="3"/>
  <c r="AE77" i="3" s="1"/>
  <c r="AF77" i="3" s="1"/>
  <c r="AI77" i="3" s="1"/>
  <c r="L118" i="2"/>
  <c r="BX61" i="3"/>
  <c r="BY61" i="3"/>
  <c r="CB61" i="3" s="1"/>
  <c r="CC61" i="3" s="1"/>
  <c r="L110" i="2"/>
  <c r="S69" i="3"/>
  <c r="DA69" i="3" s="1"/>
  <c r="P110" i="2"/>
  <c r="L90" i="2"/>
  <c r="S77" i="3"/>
  <c r="DA77" i="3" s="1"/>
  <c r="DF77" i="3" s="1"/>
  <c r="P118" i="2"/>
  <c r="AN61" i="3"/>
  <c r="AQ61" i="3" s="1"/>
  <c r="AR61" i="3" s="1"/>
  <c r="AM61" i="3"/>
  <c r="S27" i="3"/>
  <c r="DA27" i="3" s="1"/>
  <c r="DF27" i="3" s="1"/>
  <c r="Q25" i="3"/>
  <c r="AE25" i="3" s="1"/>
  <c r="AF25" i="3" s="1"/>
  <c r="AI25" i="3" s="1"/>
  <c r="R25" i="3"/>
  <c r="BP25" i="3" s="1"/>
  <c r="BQ25" i="3" s="1"/>
  <c r="BT25" i="3" s="1"/>
  <c r="DA13" i="3"/>
  <c r="R17" i="3"/>
  <c r="BP17" i="3" s="1"/>
  <c r="BQ17" i="3" s="1"/>
  <c r="BT17" i="3" s="1"/>
  <c r="Q17" i="3"/>
  <c r="AE17" i="3" s="1"/>
  <c r="AF17" i="3" s="1"/>
  <c r="AI17" i="3" s="1"/>
  <c r="S17" i="3"/>
  <c r="DA17" i="3" s="1"/>
  <c r="DF17" i="3" s="1"/>
  <c r="S31" i="3"/>
  <c r="DA31" i="3" s="1"/>
  <c r="DF31" i="3" s="1"/>
  <c r="AZ54" i="2"/>
  <c r="BB54" i="2" s="1"/>
  <c r="S25" i="3"/>
  <c r="DA25" i="3" s="1"/>
  <c r="DF25" i="3" s="1"/>
  <c r="R13" i="3"/>
  <c r="BP13" i="3" s="1"/>
  <c r="BQ13" i="3" s="1"/>
  <c r="BT13" i="3" s="1"/>
  <c r="Q13" i="3"/>
  <c r="AE13" i="3" s="1"/>
  <c r="AF13" i="3" s="1"/>
  <c r="AI13" i="3" s="1"/>
  <c r="AN13" i="3" s="1"/>
  <c r="S19" i="3"/>
  <c r="DA19" i="3" s="1"/>
  <c r="DF19" i="3" s="1"/>
  <c r="R27" i="3"/>
  <c r="BP27" i="3" s="1"/>
  <c r="BQ27" i="3" s="1"/>
  <c r="BT27" i="3" s="1"/>
  <c r="Q27" i="3"/>
  <c r="AE27" i="3" s="1"/>
  <c r="AF27" i="3" s="1"/>
  <c r="AI27" i="3" s="1"/>
  <c r="AN27" i="3" s="1"/>
  <c r="AQ27" i="3" s="1"/>
  <c r="AR27" i="3" s="1"/>
  <c r="Q31" i="3"/>
  <c r="AE31" i="3" s="1"/>
  <c r="AF31" i="3" s="1"/>
  <c r="AI31" i="3" s="1"/>
  <c r="AN31" i="3" s="1"/>
  <c r="AQ31" i="3" s="1"/>
  <c r="AR31" i="3" s="1"/>
  <c r="R31" i="3"/>
  <c r="BP31" i="3" s="1"/>
  <c r="BQ31" i="3" s="1"/>
  <c r="BT31" i="3" s="1"/>
  <c r="Q21" i="3"/>
  <c r="AE21" i="3" s="1"/>
  <c r="AF21" i="3" s="1"/>
  <c r="AI21" i="3" s="1"/>
  <c r="AN21" i="3" s="1"/>
  <c r="AQ21" i="3" s="1"/>
  <c r="AR21" i="3" s="1"/>
  <c r="R21" i="3"/>
  <c r="BP21" i="3" s="1"/>
  <c r="BQ21" i="3" s="1"/>
  <c r="BT21" i="3" s="1"/>
  <c r="Q19" i="3"/>
  <c r="AE19" i="3" s="1"/>
  <c r="AF19" i="3" s="1"/>
  <c r="AI19" i="3" s="1"/>
  <c r="AN19" i="3" s="1"/>
  <c r="AQ19" i="3" s="1"/>
  <c r="AR19" i="3" s="1"/>
  <c r="R19" i="3"/>
  <c r="BP19" i="3" s="1"/>
  <c r="BQ19" i="3" s="1"/>
  <c r="BT19" i="3" s="1"/>
  <c r="BA24" i="2"/>
  <c r="BL22" i="2"/>
  <c r="BM22" i="2"/>
  <c r="BT52" i="2"/>
  <c r="BM52" i="2"/>
  <c r="BT50" i="2"/>
  <c r="BM50" i="2"/>
  <c r="BS50" i="2"/>
  <c r="BL50" i="2"/>
  <c r="AY54" i="2"/>
  <c r="AZ52" i="2"/>
  <c r="AZ50" i="2"/>
  <c r="AW54" i="2"/>
  <c r="BK24" i="2"/>
  <c r="BS24" i="2"/>
  <c r="BL24" i="2"/>
  <c r="CA35" i="5" l="1"/>
  <c r="CC35" i="5" s="1"/>
  <c r="CJ35" i="5" s="1"/>
  <c r="Q59" i="5"/>
  <c r="BA35" i="5" s="1"/>
  <c r="P106" i="2"/>
  <c r="S65" i="3"/>
  <c r="DA65" i="3" s="1"/>
  <c r="DF65" i="3" s="1"/>
  <c r="R65" i="3"/>
  <c r="BP65" i="3" s="1"/>
  <c r="BQ65" i="3" s="1"/>
  <c r="BT65" i="3" s="1"/>
  <c r="BD29" i="5"/>
  <c r="BL29" i="5" s="1"/>
  <c r="O67" i="5"/>
  <c r="CD39" i="5" s="1"/>
  <c r="O53" i="5"/>
  <c r="AD29" i="5" s="1"/>
  <c r="P90" i="2"/>
  <c r="L106" i="2"/>
  <c r="P39" i="5"/>
  <c r="AB29" i="5" s="1"/>
  <c r="AC29" i="5" s="1"/>
  <c r="AL29" i="5" s="1"/>
  <c r="N59" i="5"/>
  <c r="AE31" i="5" s="1"/>
  <c r="Q90" i="2"/>
  <c r="N55" i="5"/>
  <c r="L80" i="2"/>
  <c r="P29" i="5"/>
  <c r="CB29" i="5" s="1"/>
  <c r="CC29" i="5" s="1"/>
  <c r="BR22" i="2"/>
  <c r="BB22" i="2"/>
  <c r="O41" i="5" s="1"/>
  <c r="BG33" i="5" s="1"/>
  <c r="Q112" i="2"/>
  <c r="N61" i="5"/>
  <c r="O61" i="5" s="1"/>
  <c r="S11" i="3"/>
  <c r="DA11" i="3" s="1"/>
  <c r="DF11" i="3" s="1"/>
  <c r="Q11" i="3"/>
  <c r="AE11" i="3" s="1"/>
  <c r="AF11" i="3" s="1"/>
  <c r="AI11" i="3" s="1"/>
  <c r="AN11" i="3" s="1"/>
  <c r="AQ11" i="3" s="1"/>
  <c r="AR11" i="3" s="1"/>
  <c r="R69" i="3"/>
  <c r="BP69" i="3" s="1"/>
  <c r="BQ69" i="3" s="1"/>
  <c r="BT69" i="3" s="1"/>
  <c r="BX69" i="3" s="1"/>
  <c r="L112" i="2"/>
  <c r="P80" i="2"/>
  <c r="DF71" i="3"/>
  <c r="Q69" i="3"/>
  <c r="AE69" i="3" s="1"/>
  <c r="AF69" i="3" s="1"/>
  <c r="AI69" i="3" s="1"/>
  <c r="AM69" i="3" s="1"/>
  <c r="R71" i="3"/>
  <c r="BP71" i="3" s="1"/>
  <c r="BQ71" i="3" s="1"/>
  <c r="BT71" i="3" s="1"/>
  <c r="BY71" i="3" s="1"/>
  <c r="CB71" i="3" s="1"/>
  <c r="CC71" i="3" s="1"/>
  <c r="CL71" i="3" s="1"/>
  <c r="CM71" i="3" s="1"/>
  <c r="CN71" i="3" s="1"/>
  <c r="BK22" i="2"/>
  <c r="R11" i="3"/>
  <c r="BP11" i="3" s="1"/>
  <c r="BQ11" i="3" s="1"/>
  <c r="BT11" i="3" s="1"/>
  <c r="BY11" i="3" s="1"/>
  <c r="CB11" i="3" s="1"/>
  <c r="CC11" i="3" s="1"/>
  <c r="Q61" i="5"/>
  <c r="Q39" i="5"/>
  <c r="AA31" i="5" s="1"/>
  <c r="N29" i="5"/>
  <c r="CE29" i="5" s="1"/>
  <c r="CF29" i="5" s="1"/>
  <c r="BS22" i="2"/>
  <c r="BR24" i="2"/>
  <c r="Q33" i="5"/>
  <c r="CB31" i="5" s="1"/>
  <c r="Q84" i="2"/>
  <c r="P33" i="5"/>
  <c r="BC31" i="5" s="1"/>
  <c r="S15" i="3"/>
  <c r="DA15" i="3" s="1"/>
  <c r="DF15" i="3" s="1"/>
  <c r="P84" i="2"/>
  <c r="N33" i="5"/>
  <c r="R15" i="3"/>
  <c r="BP15" i="3" s="1"/>
  <c r="BQ15" i="3" s="1"/>
  <c r="BT15" i="3" s="1"/>
  <c r="L84" i="2"/>
  <c r="Q15" i="3"/>
  <c r="AE15" i="3" s="1"/>
  <c r="AF15" i="3" s="1"/>
  <c r="AI15" i="3" s="1"/>
  <c r="CC39" i="5"/>
  <c r="CJ39" i="5" s="1"/>
  <c r="N92" i="2"/>
  <c r="M92" i="2"/>
  <c r="N41" i="5"/>
  <c r="AG31" i="5" s="1"/>
  <c r="M98" i="2"/>
  <c r="N47" i="5"/>
  <c r="BG35" i="5" s="1"/>
  <c r="N116" i="2"/>
  <c r="O65" i="5"/>
  <c r="BE37" i="5" s="1"/>
  <c r="O37" i="5"/>
  <c r="AF29" i="5" s="1"/>
  <c r="CE33" i="5"/>
  <c r="CF33" i="5" s="1"/>
  <c r="CG33" i="5" s="1"/>
  <c r="CK33" i="5" s="1"/>
  <c r="O45" i="5"/>
  <c r="BF35" i="5" s="1"/>
  <c r="CE37" i="5"/>
  <c r="N98" i="2"/>
  <c r="O47" i="5"/>
  <c r="BF37" i="5" s="1"/>
  <c r="O49" i="5"/>
  <c r="CE39" i="5" s="1"/>
  <c r="CF39" i="5" s="1"/>
  <c r="BG37" i="5"/>
  <c r="CF35" i="5"/>
  <c r="O31" i="5"/>
  <c r="BF31" i="5" s="1"/>
  <c r="BG29" i="5"/>
  <c r="BA61" i="3"/>
  <c r="BB61" i="3" s="1"/>
  <c r="BC61" i="3" s="1"/>
  <c r="EH61" i="3" s="1"/>
  <c r="AS61" i="3"/>
  <c r="AT61" i="3" s="1"/>
  <c r="EE61" i="3" s="1"/>
  <c r="BX65" i="3"/>
  <c r="BY65" i="3"/>
  <c r="CB65" i="3" s="1"/>
  <c r="CC65" i="3" s="1"/>
  <c r="CL65" i="3" s="1"/>
  <c r="CM65" i="3" s="1"/>
  <c r="CN65" i="3" s="1"/>
  <c r="AM77" i="3"/>
  <c r="AN77" i="3"/>
  <c r="AQ77" i="3" s="1"/>
  <c r="AR77" i="3" s="1"/>
  <c r="AN71" i="3"/>
  <c r="AQ71" i="3" s="1"/>
  <c r="AR71" i="3" s="1"/>
  <c r="AM71" i="3"/>
  <c r="DF63" i="3"/>
  <c r="DG63" i="3"/>
  <c r="DH63" i="3" s="1"/>
  <c r="BY63" i="3"/>
  <c r="CB63" i="3" s="1"/>
  <c r="CC63" i="3" s="1"/>
  <c r="CL63" i="3" s="1"/>
  <c r="CM63" i="3" s="1"/>
  <c r="CN63" i="3" s="1"/>
  <c r="BX63" i="3"/>
  <c r="DM71" i="3"/>
  <c r="DL71" i="3"/>
  <c r="DP71" i="3" s="1"/>
  <c r="DT71" i="3" s="1"/>
  <c r="ET71" i="3" s="1"/>
  <c r="AM65" i="3"/>
  <c r="AN65" i="3"/>
  <c r="AQ65" i="3" s="1"/>
  <c r="AR65" i="3" s="1"/>
  <c r="DF69" i="3"/>
  <c r="DG69" i="3"/>
  <c r="DH69" i="3" s="1"/>
  <c r="CL61" i="3"/>
  <c r="CM61" i="3" s="1"/>
  <c r="CN61" i="3" s="1"/>
  <c r="CD61" i="3"/>
  <c r="CE61" i="3" s="1"/>
  <c r="EK61" i="3" s="1"/>
  <c r="BY77" i="3"/>
  <c r="CB77" i="3" s="1"/>
  <c r="CC77" i="3" s="1"/>
  <c r="CL77" i="3" s="1"/>
  <c r="CM77" i="3" s="1"/>
  <c r="CN77" i="3" s="1"/>
  <c r="BX77" i="3"/>
  <c r="AN63" i="3"/>
  <c r="AQ63" i="3" s="1"/>
  <c r="AR63" i="3" s="1"/>
  <c r="AM63" i="3"/>
  <c r="DM21" i="3"/>
  <c r="DL21" i="3"/>
  <c r="DP21" i="3" s="1"/>
  <c r="DT21" i="3" s="1"/>
  <c r="ET21" i="3" s="1"/>
  <c r="AS27" i="3"/>
  <c r="AT27" i="3" s="1"/>
  <c r="BA27" i="3"/>
  <c r="BB27" i="3" s="1"/>
  <c r="BC27" i="3" s="1"/>
  <c r="BA31" i="3"/>
  <c r="BB31" i="3" s="1"/>
  <c r="BC31" i="3" s="1"/>
  <c r="AS31" i="3"/>
  <c r="AT31" i="3" s="1"/>
  <c r="BA21" i="3"/>
  <c r="BB21" i="3" s="1"/>
  <c r="BC21" i="3" s="1"/>
  <c r="AS21" i="3"/>
  <c r="AT21" i="3" s="1"/>
  <c r="AS19" i="3"/>
  <c r="AT19" i="3" s="1"/>
  <c r="BA19" i="3"/>
  <c r="BB19" i="3" s="1"/>
  <c r="BC19" i="3" s="1"/>
  <c r="BK54" i="2"/>
  <c r="BA54" i="2"/>
  <c r="BR54" i="2"/>
  <c r="R29" i="3"/>
  <c r="AQ13" i="3"/>
  <c r="AR13" i="3" s="1"/>
  <c r="BA13" i="3" s="1"/>
  <c r="AM13" i="3"/>
  <c r="AN17" i="3"/>
  <c r="AQ17" i="3" s="1"/>
  <c r="AR17" i="3" s="1"/>
  <c r="AM17" i="3"/>
  <c r="AN25" i="3"/>
  <c r="AQ25" i="3" s="1"/>
  <c r="AR25" i="3" s="1"/>
  <c r="AM25" i="3"/>
  <c r="BY13" i="3"/>
  <c r="CB13" i="3" s="1"/>
  <c r="CC13" i="3" s="1"/>
  <c r="CL13" i="3" s="1"/>
  <c r="CM13" i="3" s="1"/>
  <c r="CN13" i="3" s="1"/>
  <c r="BX13" i="3"/>
  <c r="BY17" i="3"/>
  <c r="CB17" i="3" s="1"/>
  <c r="CC17" i="3" s="1"/>
  <c r="CL17" i="3" s="1"/>
  <c r="CM17" i="3" s="1"/>
  <c r="CN17" i="3" s="1"/>
  <c r="BX17" i="3"/>
  <c r="DF13" i="3"/>
  <c r="DG13" i="3"/>
  <c r="DH13" i="3" s="1"/>
  <c r="DM13" i="3" s="1"/>
  <c r="BY25" i="3"/>
  <c r="CB25" i="3" s="1"/>
  <c r="CC25" i="3" s="1"/>
  <c r="CL25" i="3" s="1"/>
  <c r="CM25" i="3" s="1"/>
  <c r="CN25" i="3" s="1"/>
  <c r="BX25" i="3"/>
  <c r="R23" i="3"/>
  <c r="DF21" i="3"/>
  <c r="BY27" i="3"/>
  <c r="CB27" i="3" s="1"/>
  <c r="CC27" i="3" s="1"/>
  <c r="CL27" i="3" s="1"/>
  <c r="CM27" i="3" s="1"/>
  <c r="CN27" i="3" s="1"/>
  <c r="BX27" i="3"/>
  <c r="BY19" i="3"/>
  <c r="CB19" i="3" s="1"/>
  <c r="CC19" i="3" s="1"/>
  <c r="CL19" i="3" s="1"/>
  <c r="CM19" i="3" s="1"/>
  <c r="CN19" i="3" s="1"/>
  <c r="BX19" i="3"/>
  <c r="BY21" i="3"/>
  <c r="BX21" i="3"/>
  <c r="BY31" i="3"/>
  <c r="CB31" i="3" s="1"/>
  <c r="CC31" i="3" s="1"/>
  <c r="CL31" i="3" s="1"/>
  <c r="CM31" i="3" s="1"/>
  <c r="CN31" i="3" s="1"/>
  <c r="BX31" i="3"/>
  <c r="AM27" i="3"/>
  <c r="AM31" i="3"/>
  <c r="AM21" i="3"/>
  <c r="AM19" i="3"/>
  <c r="BV54" i="2"/>
  <c r="BO54" i="2"/>
  <c r="BU22" i="2"/>
  <c r="BN22" i="2"/>
  <c r="BU24" i="2"/>
  <c r="BN24" i="2"/>
  <c r="BV22" i="2"/>
  <c r="BO22" i="2"/>
  <c r="BO24" i="2"/>
  <c r="BV24" i="2"/>
  <c r="BB52" i="2"/>
  <c r="BA52" i="2"/>
  <c r="BA50" i="2"/>
  <c r="BB50" i="2"/>
  <c r="BL54" i="2"/>
  <c r="BS54" i="2"/>
  <c r="BK52" i="2"/>
  <c r="BR52" i="2"/>
  <c r="BR50" i="2"/>
  <c r="BK50" i="2"/>
  <c r="BT54" i="2"/>
  <c r="BM54" i="2"/>
  <c r="DG65" i="3" l="1"/>
  <c r="DH65" i="3" s="1"/>
  <c r="BF16" i="2"/>
  <c r="BY69" i="3"/>
  <c r="CB69" i="3" s="1"/>
  <c r="CC69" i="3" s="1"/>
  <c r="CL69" i="3" s="1"/>
  <c r="CM69" i="3" s="1"/>
  <c r="CN69" i="3" s="1"/>
  <c r="EN69" i="3" s="1"/>
  <c r="EO69" i="3" s="1"/>
  <c r="BX71" i="3"/>
  <c r="CG29" i="5"/>
  <c r="O29" i="5"/>
  <c r="BF29" i="5" s="1"/>
  <c r="BH29" i="5" s="1"/>
  <c r="BI29" i="5" s="1"/>
  <c r="BM29" i="5" s="1"/>
  <c r="CG35" i="5"/>
  <c r="CK35" i="5" s="1"/>
  <c r="CJ29" i="5"/>
  <c r="CK29" i="5"/>
  <c r="N57" i="5"/>
  <c r="BE31" i="5" s="1"/>
  <c r="O59" i="5"/>
  <c r="BE35" i="5" s="1"/>
  <c r="BH35" i="5" s="1"/>
  <c r="AE29" i="5"/>
  <c r="AH29" i="5" s="1"/>
  <c r="AI29" i="5" s="1"/>
  <c r="AM29" i="5" s="1"/>
  <c r="O55" i="5"/>
  <c r="N63" i="5"/>
  <c r="CD31" i="5" s="1"/>
  <c r="CO31" i="3"/>
  <c r="CQ31" i="3" s="1"/>
  <c r="CR31" i="3" s="1"/>
  <c r="EN31" i="3"/>
  <c r="EO31" i="3" s="1"/>
  <c r="CO19" i="3"/>
  <c r="CQ19" i="3" s="1"/>
  <c r="CR19" i="3" s="1"/>
  <c r="EN19" i="3"/>
  <c r="EO19" i="3" s="1"/>
  <c r="CO25" i="3"/>
  <c r="CQ25" i="3" s="1"/>
  <c r="CR25" i="3" s="1"/>
  <c r="EN25" i="3"/>
  <c r="EO25" i="3" s="1"/>
  <c r="CO17" i="3"/>
  <c r="CQ17" i="3" s="1"/>
  <c r="CR17" i="3" s="1"/>
  <c r="EN17" i="3"/>
  <c r="EO17" i="3" s="1"/>
  <c r="BD19" i="3"/>
  <c r="BF19" i="3" s="1"/>
  <c r="BG19" i="3" s="1"/>
  <c r="EH19" i="3"/>
  <c r="EI19" i="3" s="1"/>
  <c r="AU21" i="3"/>
  <c r="AW21" i="3" s="1"/>
  <c r="AX21" i="3" s="1"/>
  <c r="EE21" i="3"/>
  <c r="EF21" i="3" s="1"/>
  <c r="BD27" i="3"/>
  <c r="BF27" i="3" s="1"/>
  <c r="BG27" i="3" s="1"/>
  <c r="EH27" i="3"/>
  <c r="EI27" i="3" s="1"/>
  <c r="CO77" i="3"/>
  <c r="CQ77" i="3" s="1"/>
  <c r="CR77" i="3" s="1"/>
  <c r="EN77" i="3"/>
  <c r="EO77" i="3" s="1"/>
  <c r="CO61" i="3"/>
  <c r="CQ61" i="3" s="1"/>
  <c r="CR61" i="3" s="1"/>
  <c r="EN61" i="3"/>
  <c r="EO61" i="3" s="1"/>
  <c r="CO63" i="3"/>
  <c r="CQ63" i="3" s="1"/>
  <c r="CR63" i="3" s="1"/>
  <c r="EN63" i="3"/>
  <c r="EO63" i="3" s="1"/>
  <c r="CO65" i="3"/>
  <c r="CQ65" i="3" s="1"/>
  <c r="CR65" i="3" s="1"/>
  <c r="EN65" i="3"/>
  <c r="EO65" i="3" s="1"/>
  <c r="AU61" i="3"/>
  <c r="AW61" i="3" s="1"/>
  <c r="AX61" i="3" s="1"/>
  <c r="EF61" i="3"/>
  <c r="CO71" i="3"/>
  <c r="CQ71" i="3" s="1"/>
  <c r="CR71" i="3" s="1"/>
  <c r="EN71" i="3"/>
  <c r="EO71" i="3" s="1"/>
  <c r="AM11" i="3"/>
  <c r="AU19" i="3"/>
  <c r="AY19" i="3" s="1"/>
  <c r="AZ19" i="3" s="1"/>
  <c r="EE19" i="3"/>
  <c r="EF19" i="3" s="1"/>
  <c r="BD21" i="3"/>
  <c r="BF21" i="3" s="1"/>
  <c r="BG21" i="3" s="1"/>
  <c r="EH21" i="3"/>
  <c r="EI21" i="3" s="1"/>
  <c r="BD31" i="3"/>
  <c r="BF31" i="3" s="1"/>
  <c r="BG31" i="3" s="1"/>
  <c r="EH31" i="3"/>
  <c r="EI31" i="3" s="1"/>
  <c r="AU27" i="3"/>
  <c r="AY27" i="3" s="1"/>
  <c r="AZ27" i="3" s="1"/>
  <c r="EE27" i="3"/>
  <c r="EF27" i="3" s="1"/>
  <c r="CF61" i="3"/>
  <c r="CH61" i="3" s="1"/>
  <c r="CI61" i="3" s="1"/>
  <c r="EL61" i="3"/>
  <c r="CO69" i="3"/>
  <c r="CS69" i="3" s="1"/>
  <c r="BD61" i="3"/>
  <c r="BF61" i="3" s="1"/>
  <c r="BG61" i="3" s="1"/>
  <c r="EI61" i="3"/>
  <c r="CO27" i="3"/>
  <c r="CQ27" i="3" s="1"/>
  <c r="CR27" i="3" s="1"/>
  <c r="EN27" i="3"/>
  <c r="EO27" i="3" s="1"/>
  <c r="CO13" i="3"/>
  <c r="CQ13" i="3" s="1"/>
  <c r="CR13" i="3" s="1"/>
  <c r="EN13" i="3"/>
  <c r="EO13" i="3" s="1"/>
  <c r="AU31" i="3"/>
  <c r="AW31" i="3" s="1"/>
  <c r="AX31" i="3" s="1"/>
  <c r="EE31" i="3"/>
  <c r="EF31" i="3" s="1"/>
  <c r="AN69" i="3"/>
  <c r="AQ69" i="3" s="1"/>
  <c r="AR69" i="3" s="1"/>
  <c r="AS69" i="3" s="1"/>
  <c r="AT69" i="3" s="1"/>
  <c r="BX11" i="3"/>
  <c r="BG31" i="5"/>
  <c r="O33" i="5"/>
  <c r="CE31" i="5" s="1"/>
  <c r="AM15" i="3"/>
  <c r="AN15" i="3"/>
  <c r="AQ15" i="3" s="1"/>
  <c r="AR15" i="3" s="1"/>
  <c r="BX15" i="3"/>
  <c r="BY15" i="3"/>
  <c r="CB15" i="3" s="1"/>
  <c r="CC15" i="3" s="1"/>
  <c r="CG39" i="5"/>
  <c r="CK39" i="5" s="1"/>
  <c r="BH37" i="5"/>
  <c r="N114" i="2"/>
  <c r="O63" i="5"/>
  <c r="BE33" i="5" s="1"/>
  <c r="N108" i="2"/>
  <c r="O57" i="5"/>
  <c r="AD31" i="5" s="1"/>
  <c r="AH31" i="5" s="1"/>
  <c r="R75" i="3"/>
  <c r="BP75" i="3" s="1"/>
  <c r="BQ75" i="3" s="1"/>
  <c r="BT75" i="3" s="1"/>
  <c r="BY75" i="3" s="1"/>
  <c r="CB75" i="3" s="1"/>
  <c r="CC75" i="3" s="1"/>
  <c r="N65" i="5"/>
  <c r="BF33" i="5" s="1"/>
  <c r="AW27" i="3"/>
  <c r="AX27" i="3" s="1"/>
  <c r="BU54" i="2"/>
  <c r="BW54" i="2" s="1"/>
  <c r="BF54" i="2" s="1"/>
  <c r="M114" i="2"/>
  <c r="R73" i="3"/>
  <c r="BP73" i="3" s="1"/>
  <c r="BQ73" i="3" s="1"/>
  <c r="BT73" i="3" s="1"/>
  <c r="AS63" i="3"/>
  <c r="AT63" i="3" s="1"/>
  <c r="BA63" i="3"/>
  <c r="BB63" i="3" s="1"/>
  <c r="BC63" i="3" s="1"/>
  <c r="CD71" i="3"/>
  <c r="CE71" i="3" s="1"/>
  <c r="CD77" i="3"/>
  <c r="CE77" i="3" s="1"/>
  <c r="CD63" i="3"/>
  <c r="CE63" i="3" s="1"/>
  <c r="AS71" i="3"/>
  <c r="AT71" i="3" s="1"/>
  <c r="BA71" i="3"/>
  <c r="BB71" i="3" s="1"/>
  <c r="BC71" i="3" s="1"/>
  <c r="CD69" i="3"/>
  <c r="CE69" i="3" s="1"/>
  <c r="CD65" i="3"/>
  <c r="CE65" i="3" s="1"/>
  <c r="DM65" i="3"/>
  <c r="DL65" i="3"/>
  <c r="DP65" i="3" s="1"/>
  <c r="DT65" i="3" s="1"/>
  <c r="ET65" i="3" s="1"/>
  <c r="R67" i="3"/>
  <c r="BP67" i="3" s="1"/>
  <c r="BQ67" i="3" s="1"/>
  <c r="BT67" i="3" s="1"/>
  <c r="M108" i="2"/>
  <c r="DM69" i="3"/>
  <c r="DL69" i="3"/>
  <c r="DP69" i="3" s="1"/>
  <c r="DT69" i="3" s="1"/>
  <c r="ET69" i="3" s="1"/>
  <c r="AS65" i="3"/>
  <c r="BA65" i="3"/>
  <c r="BB65" i="3" s="1"/>
  <c r="BC65" i="3" s="1"/>
  <c r="DM63" i="3"/>
  <c r="DL63" i="3"/>
  <c r="DP63" i="3" s="1"/>
  <c r="DT63" i="3" s="1"/>
  <c r="ET63" i="3" s="1"/>
  <c r="AS77" i="3"/>
  <c r="AT77" i="3" s="1"/>
  <c r="BA77" i="3"/>
  <c r="BB77" i="3" s="1"/>
  <c r="BC77" i="3" s="1"/>
  <c r="BN54" i="2"/>
  <c r="BP54" i="2" s="1"/>
  <c r="BE54" i="2" s="1"/>
  <c r="M116" i="2"/>
  <c r="CD17" i="3"/>
  <c r="CE17" i="3" s="1"/>
  <c r="CD11" i="3"/>
  <c r="CE11" i="3" s="1"/>
  <c r="CL11" i="3"/>
  <c r="CM11" i="3" s="1"/>
  <c r="CN11" i="3" s="1"/>
  <c r="AS25" i="3"/>
  <c r="AT25" i="3" s="1"/>
  <c r="BA25" i="3"/>
  <c r="BB25" i="3" s="1"/>
  <c r="BC25" i="3" s="1"/>
  <c r="BA17" i="3"/>
  <c r="BB17" i="3" s="1"/>
  <c r="BC17" i="3" s="1"/>
  <c r="AS17" i="3"/>
  <c r="AT17" i="3" s="1"/>
  <c r="AS13" i="3"/>
  <c r="AT13" i="3" s="1"/>
  <c r="BB13" i="3"/>
  <c r="BC13" i="3" s="1"/>
  <c r="CD25" i="3"/>
  <c r="CE25" i="3" s="1"/>
  <c r="CD13" i="3"/>
  <c r="CE13" i="3" s="1"/>
  <c r="AS11" i="3"/>
  <c r="AT11" i="3" s="1"/>
  <c r="EE11" i="3" s="1"/>
  <c r="EF11" i="3" s="1"/>
  <c r="BA11" i="3"/>
  <c r="BB11" i="3" s="1"/>
  <c r="BC11" i="3" s="1"/>
  <c r="CD31" i="3"/>
  <c r="CE31" i="3" s="1"/>
  <c r="CD27" i="3"/>
  <c r="CE27" i="3" s="1"/>
  <c r="CB21" i="3"/>
  <c r="CC21" i="3" s="1"/>
  <c r="CL21" i="3" s="1"/>
  <c r="CM21" i="3" s="1"/>
  <c r="CN21" i="3" s="1"/>
  <c r="CD19" i="3"/>
  <c r="CE19" i="3" s="1"/>
  <c r="BP22" i="2"/>
  <c r="BE22" i="2" s="1"/>
  <c r="DL13" i="3"/>
  <c r="DP13" i="3" s="1"/>
  <c r="DT13" i="3" s="1"/>
  <c r="ET13" i="3" s="1"/>
  <c r="BP24" i="2"/>
  <c r="BE24" i="2" s="1"/>
  <c r="BP23" i="3"/>
  <c r="BQ23" i="3" s="1"/>
  <c r="BT23" i="3" s="1"/>
  <c r="BW22" i="2"/>
  <c r="BF22" i="2" s="1"/>
  <c r="BV50" i="2"/>
  <c r="BO50" i="2"/>
  <c r="BN52" i="2"/>
  <c r="BU52" i="2"/>
  <c r="BU50" i="2"/>
  <c r="BN50" i="2"/>
  <c r="BP50" i="2" s="1"/>
  <c r="BE50" i="2" s="1"/>
  <c r="BV52" i="2"/>
  <c r="BO52" i="2"/>
  <c r="BW24" i="2"/>
  <c r="BF24" i="2" s="1"/>
  <c r="BH21" i="3" l="1"/>
  <c r="BI21" i="3" s="1"/>
  <c r="CS27" i="3"/>
  <c r="AY31" i="3"/>
  <c r="AZ31" i="3" s="1"/>
  <c r="CQ69" i="3"/>
  <c r="CR69" i="3" s="1"/>
  <c r="BA69" i="3"/>
  <c r="BB69" i="3" s="1"/>
  <c r="BC69" i="3" s="1"/>
  <c r="CS13" i="3"/>
  <c r="CJ61" i="3"/>
  <c r="CK61" i="3" s="1"/>
  <c r="BH31" i="3"/>
  <c r="BI31" i="3" s="1"/>
  <c r="AW19" i="3"/>
  <c r="AX19" i="3" s="1"/>
  <c r="BX75" i="3"/>
  <c r="BH61" i="3"/>
  <c r="BI61" i="3" s="1"/>
  <c r="BH31" i="5"/>
  <c r="P65" i="5"/>
  <c r="BB33" i="5" s="1"/>
  <c r="CF31" i="5"/>
  <c r="CA37" i="5"/>
  <c r="CC37" i="5" s="1"/>
  <c r="CJ37" i="5" s="1"/>
  <c r="CD37" i="5"/>
  <c r="CF37" i="5" s="1"/>
  <c r="CS19" i="3"/>
  <c r="AY21" i="3"/>
  <c r="AZ21" i="3" s="1"/>
  <c r="CS77" i="3"/>
  <c r="CT77" i="3" s="1"/>
  <c r="Q47" i="5"/>
  <c r="BB37" i="5" s="1"/>
  <c r="Q41" i="5"/>
  <c r="BC33" i="5" s="1"/>
  <c r="AY61" i="3"/>
  <c r="AZ61" i="3" s="1"/>
  <c r="CS63" i="3"/>
  <c r="CT63" i="3" s="1"/>
  <c r="CS25" i="3"/>
  <c r="CT25" i="3" s="1"/>
  <c r="BH27" i="3"/>
  <c r="BI27" i="3" s="1"/>
  <c r="BH19" i="3"/>
  <c r="BI19" i="3" s="1"/>
  <c r="CS17" i="3"/>
  <c r="CT17" i="3" s="1"/>
  <c r="CS65" i="3"/>
  <c r="CT65" i="3" s="1"/>
  <c r="CS61" i="3"/>
  <c r="CT61" i="3" s="1"/>
  <c r="CS71" i="3"/>
  <c r="CT71" i="3" s="1"/>
  <c r="CS31" i="3"/>
  <c r="CT31" i="3" s="1"/>
  <c r="CF19" i="3"/>
  <c r="CJ19" i="3" s="1"/>
  <c r="CK19" i="3" s="1"/>
  <c r="EK19" i="3"/>
  <c r="EL19" i="3" s="1"/>
  <c r="BD11" i="3"/>
  <c r="BF11" i="3" s="1"/>
  <c r="BG11" i="3" s="1"/>
  <c r="EH11" i="3"/>
  <c r="EI11" i="3" s="1"/>
  <c r="BD13" i="3"/>
  <c r="BF13" i="3" s="1"/>
  <c r="BG13" i="3" s="1"/>
  <c r="EH13" i="3"/>
  <c r="EI13" i="3" s="1"/>
  <c r="AU17" i="3"/>
  <c r="AW17" i="3" s="1"/>
  <c r="AX17" i="3" s="1"/>
  <c r="EE17" i="3"/>
  <c r="EF17" i="3" s="1"/>
  <c r="CO11" i="3"/>
  <c r="CS11" i="3" s="1"/>
  <c r="CT11" i="3" s="1"/>
  <c r="EN11" i="3"/>
  <c r="EO11" i="3" s="1"/>
  <c r="CF17" i="3"/>
  <c r="CJ17" i="3" s="1"/>
  <c r="CK17" i="3" s="1"/>
  <c r="EK17" i="3"/>
  <c r="EL17" i="3" s="1"/>
  <c r="CF69" i="3"/>
  <c r="CJ69" i="3" s="1"/>
  <c r="CK69" i="3" s="1"/>
  <c r="EK69" i="3"/>
  <c r="EL69" i="3" s="1"/>
  <c r="AU71" i="3"/>
  <c r="AW71" i="3" s="1"/>
  <c r="AX71" i="3" s="1"/>
  <c r="EE71" i="3"/>
  <c r="EF71" i="3" s="1"/>
  <c r="BD69" i="3"/>
  <c r="BH69" i="3" s="1"/>
  <c r="BI69" i="3" s="1"/>
  <c r="EH69" i="3"/>
  <c r="EI69" i="3" s="1"/>
  <c r="AU63" i="3"/>
  <c r="AW63" i="3" s="1"/>
  <c r="AX63" i="3" s="1"/>
  <c r="EE63" i="3"/>
  <c r="EF63" i="3" s="1"/>
  <c r="CO21" i="3"/>
  <c r="CS21" i="3" s="1"/>
  <c r="EN21" i="3"/>
  <c r="EO21" i="3" s="1"/>
  <c r="CF31" i="3"/>
  <c r="CH31" i="3" s="1"/>
  <c r="CI31" i="3" s="1"/>
  <c r="EK31" i="3"/>
  <c r="EL31" i="3" s="1"/>
  <c r="CF25" i="3"/>
  <c r="CH25" i="3" s="1"/>
  <c r="CI25" i="3" s="1"/>
  <c r="EK25" i="3"/>
  <c r="EL25" i="3" s="1"/>
  <c r="AU13" i="3"/>
  <c r="AW13" i="3" s="1"/>
  <c r="AX13" i="3" s="1"/>
  <c r="EE13" i="3"/>
  <c r="EF13" i="3" s="1"/>
  <c r="BD17" i="3"/>
  <c r="BF17" i="3" s="1"/>
  <c r="BG17" i="3" s="1"/>
  <c r="EH17" i="3"/>
  <c r="EI17" i="3" s="1"/>
  <c r="AU25" i="3"/>
  <c r="AW25" i="3" s="1"/>
  <c r="AX25" i="3" s="1"/>
  <c r="EE25" i="3"/>
  <c r="EF25" i="3" s="1"/>
  <c r="CF11" i="3"/>
  <c r="CH11" i="3" s="1"/>
  <c r="CI11" i="3" s="1"/>
  <c r="EK11" i="3"/>
  <c r="EL11" i="3" s="1"/>
  <c r="BD77" i="3"/>
  <c r="BF77" i="3" s="1"/>
  <c r="BG77" i="3" s="1"/>
  <c r="EH77" i="3"/>
  <c r="EI77" i="3" s="1"/>
  <c r="BD65" i="3"/>
  <c r="BH65" i="3" s="1"/>
  <c r="BI65" i="3" s="1"/>
  <c r="EH65" i="3"/>
  <c r="EI65" i="3" s="1"/>
  <c r="CF65" i="3"/>
  <c r="CJ65" i="3" s="1"/>
  <c r="CK65" i="3" s="1"/>
  <c r="EK65" i="3"/>
  <c r="EL65" i="3" s="1"/>
  <c r="BD71" i="3"/>
  <c r="BF71" i="3" s="1"/>
  <c r="BG71" i="3" s="1"/>
  <c r="EH71" i="3"/>
  <c r="EI71" i="3" s="1"/>
  <c r="CF63" i="3"/>
  <c r="CJ63" i="3" s="1"/>
  <c r="CK63" i="3" s="1"/>
  <c r="EK63" i="3"/>
  <c r="EL63" i="3" s="1"/>
  <c r="AU69" i="3"/>
  <c r="AW69" i="3" s="1"/>
  <c r="AX69" i="3" s="1"/>
  <c r="EE69" i="3"/>
  <c r="EF69" i="3" s="1"/>
  <c r="CF77" i="3"/>
  <c r="CJ77" i="3" s="1"/>
  <c r="CK77" i="3" s="1"/>
  <c r="EK77" i="3"/>
  <c r="EL77" i="3" s="1"/>
  <c r="BD63" i="3"/>
  <c r="BH63" i="3" s="1"/>
  <c r="BI63" i="3" s="1"/>
  <c r="EH63" i="3"/>
  <c r="EI63" i="3" s="1"/>
  <c r="CF27" i="3"/>
  <c r="CJ27" i="3" s="1"/>
  <c r="CK27" i="3" s="1"/>
  <c r="EK27" i="3"/>
  <c r="EL27" i="3" s="1"/>
  <c r="CF13" i="3"/>
  <c r="CJ13" i="3" s="1"/>
  <c r="CK13" i="3" s="1"/>
  <c r="EK13" i="3"/>
  <c r="EL13" i="3" s="1"/>
  <c r="BD25" i="3"/>
  <c r="BF25" i="3" s="1"/>
  <c r="BG25" i="3" s="1"/>
  <c r="EH25" i="3"/>
  <c r="EI25" i="3" s="1"/>
  <c r="AU77" i="3"/>
  <c r="AY77" i="3" s="1"/>
  <c r="AZ77" i="3" s="1"/>
  <c r="EE77" i="3"/>
  <c r="EF77" i="3" s="1"/>
  <c r="CF71" i="3"/>
  <c r="CJ71" i="3" s="1"/>
  <c r="CK71" i="3" s="1"/>
  <c r="EK71" i="3"/>
  <c r="EL71" i="3" s="1"/>
  <c r="CL15" i="3"/>
  <c r="CM15" i="3" s="1"/>
  <c r="CN15" i="3" s="1"/>
  <c r="CD15" i="3"/>
  <c r="CE15" i="3" s="1"/>
  <c r="AS15" i="3"/>
  <c r="AT15" i="3" s="1"/>
  <c r="BA15" i="3"/>
  <c r="BB15" i="3" s="1"/>
  <c r="BC15" i="3" s="1"/>
  <c r="P57" i="5"/>
  <c r="BA31" i="5" s="1"/>
  <c r="BD31" i="5" s="1"/>
  <c r="BC50" i="2"/>
  <c r="P92" i="2"/>
  <c r="P41" i="5"/>
  <c r="AB31" i="5" s="1"/>
  <c r="Q116" i="2"/>
  <c r="Q65" i="5"/>
  <c r="BA37" i="5" s="1"/>
  <c r="P98" i="2"/>
  <c r="P47" i="5"/>
  <c r="BC35" i="5" s="1"/>
  <c r="BD35" i="5" s="1"/>
  <c r="BH33" i="5"/>
  <c r="CL75" i="3"/>
  <c r="CM75" i="3" s="1"/>
  <c r="CN75" i="3" s="1"/>
  <c r="CH17" i="3"/>
  <c r="CI17" i="3" s="1"/>
  <c r="AT65" i="3"/>
  <c r="BH77" i="3"/>
  <c r="BI77" i="3" s="1"/>
  <c r="AY17" i="3"/>
  <c r="AZ17" i="3" s="1"/>
  <c r="AU11" i="3"/>
  <c r="S75" i="3"/>
  <c r="DA75" i="3" s="1"/>
  <c r="DG75" i="3" s="1"/>
  <c r="DH75" i="3" s="1"/>
  <c r="BC54" i="2"/>
  <c r="Q75" i="3" s="1"/>
  <c r="AE75" i="3" s="1"/>
  <c r="AF75" i="3" s="1"/>
  <c r="AI75" i="3" s="1"/>
  <c r="CD75" i="3"/>
  <c r="CE75" i="3" s="1"/>
  <c r="BY73" i="3"/>
  <c r="CB73" i="3" s="1"/>
  <c r="CC73" i="3" s="1"/>
  <c r="CL73" i="3" s="1"/>
  <c r="CM73" i="3" s="1"/>
  <c r="CN73" i="3" s="1"/>
  <c r="BX73" i="3"/>
  <c r="S67" i="3"/>
  <c r="DA67" i="3" s="1"/>
  <c r="P108" i="2"/>
  <c r="BY67" i="3"/>
  <c r="CB67" i="3" s="1"/>
  <c r="CC67" i="3" s="1"/>
  <c r="CL67" i="3" s="1"/>
  <c r="CM67" i="3" s="1"/>
  <c r="CN67" i="3" s="1"/>
  <c r="BX67" i="3"/>
  <c r="CT69" i="3"/>
  <c r="S29" i="3"/>
  <c r="DA29" i="3" s="1"/>
  <c r="DG29" i="3" s="1"/>
  <c r="DH29" i="3" s="1"/>
  <c r="Q98" i="2"/>
  <c r="S23" i="3"/>
  <c r="DA23" i="3" s="1"/>
  <c r="DG23" i="3" s="1"/>
  <c r="DH23" i="3" s="1"/>
  <c r="Q92" i="2"/>
  <c r="P116" i="2"/>
  <c r="AU9" i="2"/>
  <c r="AV9" i="2" s="1"/>
  <c r="BC22" i="2" s="1"/>
  <c r="Q23" i="3" s="1"/>
  <c r="AU11" i="2"/>
  <c r="AV11" i="2" s="1"/>
  <c r="BC24" i="2" s="1"/>
  <c r="CT13" i="3"/>
  <c r="CT27" i="3"/>
  <c r="CD21" i="3"/>
  <c r="CE21" i="3" s="1"/>
  <c r="CT19" i="3"/>
  <c r="BY23" i="3"/>
  <c r="BX23" i="3"/>
  <c r="BP52" i="2"/>
  <c r="BE52" i="2" s="1"/>
  <c r="BW52" i="2"/>
  <c r="BF52" i="2" s="1"/>
  <c r="BW50" i="2"/>
  <c r="BF50" i="2" s="1"/>
  <c r="CH13" i="3" l="1"/>
  <c r="CI13" i="3" s="1"/>
  <c r="BH13" i="3"/>
  <c r="BI13" i="3" s="1"/>
  <c r="BF69" i="3"/>
  <c r="BG69" i="3" s="1"/>
  <c r="BH11" i="3"/>
  <c r="BI11" i="3" s="1"/>
  <c r="CH63" i="3"/>
  <c r="CI63" i="3" s="1"/>
  <c r="CJ25" i="3"/>
  <c r="CK25" i="3" s="1"/>
  <c r="BH17" i="3"/>
  <c r="BI17" i="3" s="1"/>
  <c r="CH77" i="3"/>
  <c r="CI77" i="3" s="1"/>
  <c r="CQ21" i="3"/>
  <c r="CR21" i="3" s="1"/>
  <c r="AY69" i="3"/>
  <c r="AZ69" i="3" s="1"/>
  <c r="AY25" i="3"/>
  <c r="AZ25" i="3" s="1"/>
  <c r="AW77" i="3"/>
  <c r="AX77" i="3" s="1"/>
  <c r="Q57" i="5"/>
  <c r="Y31" i="5" s="1"/>
  <c r="P63" i="5"/>
  <c r="CA31" i="5" s="1"/>
  <c r="CC31" i="5" s="1"/>
  <c r="CJ31" i="5" s="1"/>
  <c r="CG37" i="5"/>
  <c r="CK37" i="5" s="1"/>
  <c r="BH25" i="3"/>
  <c r="BI25" i="3" s="1"/>
  <c r="AY13" i="3"/>
  <c r="AZ13" i="3" s="1"/>
  <c r="AY63" i="3"/>
  <c r="AZ63" i="3" s="1"/>
  <c r="BF63" i="3"/>
  <c r="BG63" i="3" s="1"/>
  <c r="BF65" i="3"/>
  <c r="BG65" i="3" s="1"/>
  <c r="CH69" i="3"/>
  <c r="CI69" i="3" s="1"/>
  <c r="CH65" i="3"/>
  <c r="CI65" i="3" s="1"/>
  <c r="CQ11" i="3"/>
  <c r="CR11" i="3" s="1"/>
  <c r="CH27" i="3"/>
  <c r="CI27" i="3" s="1"/>
  <c r="CH19" i="3"/>
  <c r="CI19" i="3" s="1"/>
  <c r="CJ11" i="3"/>
  <c r="CK11" i="3" s="1"/>
  <c r="CJ31" i="3"/>
  <c r="CK31" i="3" s="1"/>
  <c r="BH71" i="3"/>
  <c r="BI71" i="3" s="1"/>
  <c r="AY71" i="3"/>
  <c r="AZ71" i="3" s="1"/>
  <c r="CH71" i="3"/>
  <c r="CI71" i="3" s="1"/>
  <c r="BD37" i="5"/>
  <c r="BL37" i="5" s="1"/>
  <c r="CF21" i="3"/>
  <c r="CJ21" i="3" s="1"/>
  <c r="CK21" i="3" s="1"/>
  <c r="EK21" i="3"/>
  <c r="EL21" i="3" s="1"/>
  <c r="CO67" i="3"/>
  <c r="CS67" i="3" s="1"/>
  <c r="EN67" i="3"/>
  <c r="EO67" i="3" s="1"/>
  <c r="CO75" i="3"/>
  <c r="CS75" i="3" s="1"/>
  <c r="CT75" i="3" s="1"/>
  <c r="EN75" i="3"/>
  <c r="EO75" i="3" s="1"/>
  <c r="BD15" i="3"/>
  <c r="BF15" i="3" s="1"/>
  <c r="BG15" i="3" s="1"/>
  <c r="EH15" i="3"/>
  <c r="EI15" i="3" s="1"/>
  <c r="CF15" i="3"/>
  <c r="CH15" i="3" s="1"/>
  <c r="CI15" i="3" s="1"/>
  <c r="EK15" i="3"/>
  <c r="EL15" i="3" s="1"/>
  <c r="CO73" i="3"/>
  <c r="CS73" i="3" s="1"/>
  <c r="EN73" i="3"/>
  <c r="EO73" i="3" s="1"/>
  <c r="CF75" i="3"/>
  <c r="CJ75" i="3" s="1"/>
  <c r="CK75" i="3" s="1"/>
  <c r="EK75" i="3"/>
  <c r="EL75" i="3" s="1"/>
  <c r="AU65" i="3"/>
  <c r="AW65" i="3" s="1"/>
  <c r="AX65" i="3" s="1"/>
  <c r="EE65" i="3"/>
  <c r="EF65" i="3" s="1"/>
  <c r="AU15" i="3"/>
  <c r="AW15" i="3" s="1"/>
  <c r="AX15" i="3" s="1"/>
  <c r="EE15" i="3"/>
  <c r="EF15" i="3" s="1"/>
  <c r="CO15" i="3"/>
  <c r="CS15" i="3" s="1"/>
  <c r="CT15" i="3" s="1"/>
  <c r="EN15" i="3"/>
  <c r="EO15" i="3" s="1"/>
  <c r="AC31" i="5"/>
  <c r="AI31" i="5" s="1"/>
  <c r="Q114" i="2"/>
  <c r="Q63" i="5"/>
  <c r="BA33" i="5" s="1"/>
  <c r="BD33" i="5" s="1"/>
  <c r="BL33" i="5" s="1"/>
  <c r="BL35" i="5"/>
  <c r="BI35" i="5"/>
  <c r="BM35" i="5" s="1"/>
  <c r="O92" i="2"/>
  <c r="BL31" i="5"/>
  <c r="BI31" i="5"/>
  <c r="BM31" i="5" s="1"/>
  <c r="CQ67" i="3"/>
  <c r="CR67" i="3" s="1"/>
  <c r="AW11" i="3"/>
  <c r="AX11" i="3" s="1"/>
  <c r="AY11" i="3"/>
  <c r="AZ11" i="3" s="1"/>
  <c r="DF75" i="3"/>
  <c r="DF23" i="3"/>
  <c r="S73" i="3"/>
  <c r="DA73" i="3" s="1"/>
  <c r="BC52" i="2"/>
  <c r="Q73" i="3" s="1"/>
  <c r="AE73" i="3" s="1"/>
  <c r="AF73" i="3" s="1"/>
  <c r="AI73" i="3" s="1"/>
  <c r="Q108" i="2"/>
  <c r="AM75" i="3"/>
  <c r="AN75" i="3"/>
  <c r="AQ75" i="3" s="1"/>
  <c r="AR75" i="3" s="1"/>
  <c r="CD67" i="3"/>
  <c r="CE67" i="3" s="1"/>
  <c r="DF67" i="3"/>
  <c r="DG67" i="3"/>
  <c r="DH67" i="3" s="1"/>
  <c r="DM75" i="3"/>
  <c r="DL75" i="3"/>
  <c r="DP75" i="3" s="1"/>
  <c r="DT75" i="3" s="1"/>
  <c r="ET75" i="3" s="1"/>
  <c r="Q67" i="3"/>
  <c r="AE67" i="3" s="1"/>
  <c r="AF67" i="3" s="1"/>
  <c r="AI67" i="3" s="1"/>
  <c r="O108" i="2"/>
  <c r="CD73" i="3"/>
  <c r="CE73" i="3" s="1"/>
  <c r="DM29" i="3"/>
  <c r="DL29" i="3"/>
  <c r="DP29" i="3" s="1"/>
  <c r="DT29" i="3" s="1"/>
  <c r="ET29" i="3" s="1"/>
  <c r="DF29" i="3"/>
  <c r="DL23" i="3"/>
  <c r="DP23" i="3" s="1"/>
  <c r="DT23" i="3" s="1"/>
  <c r="ET23" i="3" s="1"/>
  <c r="DM23" i="3"/>
  <c r="Q29" i="3"/>
  <c r="AE29" i="3" s="1"/>
  <c r="AF29" i="3" s="1"/>
  <c r="AI29" i="3" s="1"/>
  <c r="AN29" i="3" s="1"/>
  <c r="O98" i="2"/>
  <c r="P114" i="2"/>
  <c r="O116" i="2"/>
  <c r="CT21" i="3"/>
  <c r="CB23" i="3"/>
  <c r="CC23" i="3" s="1"/>
  <c r="BP29" i="3"/>
  <c r="BQ29" i="3" s="1"/>
  <c r="BT29" i="3" s="1"/>
  <c r="BI37" i="5" l="1"/>
  <c r="BM37" i="5" s="1"/>
  <c r="CL23" i="3"/>
  <c r="CM23" i="3" s="1"/>
  <c r="CN23" i="3" s="1"/>
  <c r="CG31" i="5"/>
  <c r="CK31" i="5" s="1"/>
  <c r="DF73" i="3"/>
  <c r="DG73" i="3"/>
  <c r="DH73" i="3" s="1"/>
  <c r="AY65" i="3"/>
  <c r="AZ65" i="3" s="1"/>
  <c r="CQ73" i="3"/>
  <c r="CR73" i="3" s="1"/>
  <c r="CQ15" i="3"/>
  <c r="CR15" i="3" s="1"/>
  <c r="CQ75" i="3"/>
  <c r="CR75" i="3" s="1"/>
  <c r="CH21" i="3"/>
  <c r="CI21" i="3" s="1"/>
  <c r="CJ15" i="3"/>
  <c r="CK15" i="3" s="1"/>
  <c r="CH75" i="3"/>
  <c r="CI75" i="3" s="1"/>
  <c r="AY15" i="3"/>
  <c r="AZ15" i="3" s="1"/>
  <c r="BH15" i="3"/>
  <c r="BI15" i="3" s="1"/>
  <c r="CF67" i="3"/>
  <c r="CJ67" i="3" s="1"/>
  <c r="CK67" i="3" s="1"/>
  <c r="EK67" i="3"/>
  <c r="EL67" i="3" s="1"/>
  <c r="CF73" i="3"/>
  <c r="CJ73" i="3" s="1"/>
  <c r="CK73" i="3" s="1"/>
  <c r="EK73" i="3"/>
  <c r="EL73" i="3" s="1"/>
  <c r="AL31" i="5"/>
  <c r="AM31" i="5"/>
  <c r="AE23" i="3"/>
  <c r="AF23" i="3" s="1"/>
  <c r="AI23" i="3" s="1"/>
  <c r="AM23" i="3" s="1"/>
  <c r="BI33" i="5"/>
  <c r="BM33" i="5" s="1"/>
  <c r="CH67" i="3"/>
  <c r="CI67" i="3" s="1"/>
  <c r="CT73" i="3"/>
  <c r="AM73" i="3"/>
  <c r="AN73" i="3"/>
  <c r="AQ73" i="3" s="1"/>
  <c r="AR73" i="3" s="1"/>
  <c r="DM67" i="3"/>
  <c r="DL67" i="3"/>
  <c r="DP67" i="3" s="1"/>
  <c r="DT67" i="3" s="1"/>
  <c r="ET67" i="3" s="1"/>
  <c r="BA75" i="3"/>
  <c r="BB75" i="3" s="1"/>
  <c r="BC75" i="3" s="1"/>
  <c r="AS75" i="3"/>
  <c r="AT75" i="3" s="1"/>
  <c r="AN67" i="3"/>
  <c r="AQ67" i="3" s="1"/>
  <c r="AR67" i="3" s="1"/>
  <c r="AM67" i="3"/>
  <c r="CT67" i="3"/>
  <c r="AM29" i="3"/>
  <c r="O114" i="2"/>
  <c r="CD23" i="3"/>
  <c r="CE23" i="3" s="1"/>
  <c r="AQ29" i="3"/>
  <c r="AR29" i="3" s="1"/>
  <c r="BY29" i="3"/>
  <c r="BX29" i="3"/>
  <c r="CO23" i="3" l="1"/>
  <c r="CS23" i="3" s="1"/>
  <c r="CT23" i="3" s="1"/>
  <c r="EN23" i="3"/>
  <c r="EO23" i="3" s="1"/>
  <c r="DM73" i="3"/>
  <c r="DL73" i="3"/>
  <c r="DP73" i="3" s="1"/>
  <c r="DT73" i="3" s="1"/>
  <c r="ET73" i="3" s="1"/>
  <c r="AN23" i="3"/>
  <c r="AQ23" i="3" s="1"/>
  <c r="AR23" i="3" s="1"/>
  <c r="CH73" i="3"/>
  <c r="CI73" i="3" s="1"/>
  <c r="CF23" i="3"/>
  <c r="CJ23" i="3" s="1"/>
  <c r="CK23" i="3" s="1"/>
  <c r="EK23" i="3"/>
  <c r="EL23" i="3" s="1"/>
  <c r="AU75" i="3"/>
  <c r="AY75" i="3" s="1"/>
  <c r="AZ75" i="3" s="1"/>
  <c r="EE75" i="3"/>
  <c r="EF75" i="3" s="1"/>
  <c r="BD75" i="3"/>
  <c r="BH75" i="3" s="1"/>
  <c r="BI75" i="3" s="1"/>
  <c r="EH75" i="3"/>
  <c r="EI75" i="3" s="1"/>
  <c r="AS67" i="3"/>
  <c r="AT67" i="3" s="1"/>
  <c r="BA67" i="3"/>
  <c r="AS73" i="3"/>
  <c r="AT73" i="3" s="1"/>
  <c r="BA73" i="3"/>
  <c r="BB73" i="3" s="1"/>
  <c r="BC73" i="3" s="1"/>
  <c r="AS29" i="3"/>
  <c r="AT29" i="3" s="1"/>
  <c r="EE29" i="3" s="1"/>
  <c r="EF29" i="3" s="1"/>
  <c r="BA29" i="3"/>
  <c r="BB29" i="3" s="1"/>
  <c r="BC29" i="3" s="1"/>
  <c r="CB29" i="3"/>
  <c r="CC29" i="3" s="1"/>
  <c r="CL29" i="3" s="1"/>
  <c r="CM29" i="3" s="1"/>
  <c r="CN29" i="3" s="1"/>
  <c r="CQ23" i="3" l="1"/>
  <c r="CR23" i="3" s="1"/>
  <c r="CH23" i="3"/>
  <c r="CI23" i="3" s="1"/>
  <c r="AS23" i="3"/>
  <c r="AT23" i="3" s="1"/>
  <c r="AU23" i="3" s="1"/>
  <c r="AW23" i="3" s="1"/>
  <c r="AX23" i="3" s="1"/>
  <c r="BA23" i="3"/>
  <c r="BB23" i="3" s="1"/>
  <c r="BC23" i="3" s="1"/>
  <c r="BD23" i="3" s="1"/>
  <c r="BF23" i="3" s="1"/>
  <c r="BG23" i="3" s="1"/>
  <c r="AW75" i="3"/>
  <c r="AX75" i="3" s="1"/>
  <c r="BF75" i="3"/>
  <c r="BG75" i="3" s="1"/>
  <c r="AU73" i="3"/>
  <c r="AW73" i="3" s="1"/>
  <c r="AX73" i="3" s="1"/>
  <c r="EE73" i="3"/>
  <c r="EF73" i="3" s="1"/>
  <c r="AU67" i="3"/>
  <c r="AY67" i="3" s="1"/>
  <c r="AZ67" i="3" s="1"/>
  <c r="EE67" i="3"/>
  <c r="EF67" i="3" s="1"/>
  <c r="BD29" i="3"/>
  <c r="BF29" i="3" s="1"/>
  <c r="BG29" i="3" s="1"/>
  <c r="EH29" i="3"/>
  <c r="EI29" i="3" s="1"/>
  <c r="BD73" i="3"/>
  <c r="BH73" i="3" s="1"/>
  <c r="BI73" i="3" s="1"/>
  <c r="EH73" i="3"/>
  <c r="EI73" i="3" s="1"/>
  <c r="CO29" i="3"/>
  <c r="CS29" i="3" s="1"/>
  <c r="EN29" i="3"/>
  <c r="EO29" i="3" s="1"/>
  <c r="AW67" i="3"/>
  <c r="AX67" i="3" s="1"/>
  <c r="BB67" i="3"/>
  <c r="BC67" i="3" s="1"/>
  <c r="AU29" i="3"/>
  <c r="CD29" i="3"/>
  <c r="CE29" i="3" s="1"/>
  <c r="EE23" i="3" l="1"/>
  <c r="EF23" i="3" s="1"/>
  <c r="CQ29" i="3"/>
  <c r="CR29" i="3" s="1"/>
  <c r="AY73" i="3"/>
  <c r="AZ73" i="3" s="1"/>
  <c r="BF73" i="3"/>
  <c r="BG73" i="3" s="1"/>
  <c r="BH29" i="3"/>
  <c r="BI29" i="3" s="1"/>
  <c r="EH23" i="3"/>
  <c r="EI23" i="3" s="1"/>
  <c r="AY23" i="3"/>
  <c r="AZ23" i="3" s="1"/>
  <c r="BH23" i="3"/>
  <c r="BI23" i="3" s="1"/>
  <c r="CF29" i="3"/>
  <c r="CJ29" i="3" s="1"/>
  <c r="CK29" i="3" s="1"/>
  <c r="EK29" i="3"/>
  <c r="EL29" i="3" s="1"/>
  <c r="BD67" i="3"/>
  <c r="BH67" i="3" s="1"/>
  <c r="BI67" i="3" s="1"/>
  <c r="EH67" i="3"/>
  <c r="EI67" i="3" s="1"/>
  <c r="AW29" i="3"/>
  <c r="AX29" i="3" s="1"/>
  <c r="AY29" i="3"/>
  <c r="AZ29" i="3" s="1"/>
  <c r="CT29" i="3"/>
  <c r="CH29" i="3" l="1"/>
  <c r="CI29" i="3" s="1"/>
  <c r="BF67" i="3"/>
  <c r="BG6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mzddsk</author>
    <author>USER</author>
  </authors>
  <commentList>
    <comment ref="AM1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Qu Berat Sendiri</t>
        </r>
      </text>
    </comment>
    <comment ref="AN19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Tinggi tembok 3,5m</t>
        </r>
      </text>
    </comment>
    <comment ref="BC19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perhitungan pada bid. D
</t>
        </r>
      </text>
    </comment>
    <comment ref="AM47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Qu Berat Sendiri</t>
        </r>
      </text>
    </comment>
    <comment ref="AN47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Tinggi tembok 3,5m</t>
        </r>
      </text>
    </comment>
    <comment ref="BC47" authorId="1" shapeId="0" xr:uid="{00000000-0006-0000-0100-00000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perhitungan pada bid. D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mzddsk</author>
    <author>USER</author>
    <author>Windows User</author>
  </authors>
  <commentList>
    <comment ref="R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 xml:space="preserve">momen yg terbesar 
</t>
        </r>
      </text>
    </comment>
    <comment ref="S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V yg terbesar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8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faktor reduksi kekuatan lentur
</t>
        </r>
      </text>
    </comment>
    <comment ref="AW8" authorId="2" shapeId="0" xr:uid="{00000000-0006-0000-0200-000004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AY8" authorId="1" shapeId="0" xr:uid="{00000000-0006-0000-02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BF8" authorId="2" shapeId="0" xr:uid="{00000000-0006-0000-0200-000006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BH8" authorId="1" shapeId="0" xr:uid="{00000000-0006-0000-0200-00000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CH8" authorId="2" shapeId="0" xr:uid="{00000000-0006-0000-0200-000008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J8" authorId="1" shapeId="0" xr:uid="{00000000-0006-0000-0200-000009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CQ8" authorId="2" shapeId="0" xr:uid="{00000000-0006-0000-0200-00000A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S8" authorId="1" shapeId="0" xr:uid="{00000000-0006-0000-0200-00000B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DA8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 xml:space="preserve">V yg terbesar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B8" authorId="1" shapeId="0" xr:uid="{00000000-0006-0000-0200-00000D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Faktor reduksi kekuatan geser
</t>
        </r>
      </text>
    </comment>
    <comment ref="H31" authorId="1" shapeId="0" xr:uid="{00000000-0006-0000-0200-00000E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bisa di asumsikan, bisa dengan rumus</t>
        </r>
      </text>
    </comment>
    <comment ref="R58" authorId="0" shapeId="0" xr:uid="{00000000-0006-0000-0200-00000F000000}">
      <text>
        <r>
          <rPr>
            <b/>
            <sz val="9"/>
            <color indexed="81"/>
            <rFont val="Tahoma"/>
            <family val="2"/>
          </rPr>
          <t xml:space="preserve">momen yg terbesar 
</t>
        </r>
      </text>
    </comment>
    <comment ref="S58" authorId="0" shapeId="0" xr:uid="{00000000-0006-0000-0200-000010000000}">
      <text>
        <r>
          <rPr>
            <b/>
            <sz val="9"/>
            <color indexed="81"/>
            <rFont val="Tahoma"/>
            <family val="2"/>
          </rPr>
          <t xml:space="preserve">V yg terbesar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58" authorId="1" shapeId="0" xr:uid="{00000000-0006-0000-0200-00001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faktor reduksi kekuatan lentur
</t>
        </r>
      </text>
    </comment>
    <comment ref="AW58" authorId="2" shapeId="0" xr:uid="{00000000-0006-0000-0200-00001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AY58" authorId="1" shapeId="0" xr:uid="{00000000-0006-0000-0200-00001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BF58" authorId="2" shapeId="0" xr:uid="{00000000-0006-0000-0200-000014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BH58" authorId="1" shapeId="0" xr:uid="{00000000-0006-0000-0200-00001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CH58" authorId="2" shapeId="0" xr:uid="{00000000-0006-0000-0200-000016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J58" authorId="1" shapeId="0" xr:uid="{00000000-0006-0000-0200-00001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CQ58" authorId="2" shapeId="0" xr:uid="{00000000-0006-0000-0200-000018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S58" authorId="1" shapeId="0" xr:uid="{00000000-0006-0000-0200-000019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DA58" authorId="0" shapeId="0" xr:uid="{00000000-0006-0000-0200-00001A000000}">
      <text>
        <r>
          <rPr>
            <b/>
            <sz val="9"/>
            <color indexed="81"/>
            <rFont val="Tahoma"/>
            <family val="2"/>
          </rPr>
          <t xml:space="preserve">V yg terbesar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B58" authorId="1" shapeId="0" xr:uid="{00000000-0006-0000-0200-00001B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Faktor reduksi kekuatan geser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S26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BS26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S2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DI26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</commentList>
</comments>
</file>

<file path=xl/sharedStrings.xml><?xml version="1.0" encoding="utf-8"?>
<sst xmlns="http://schemas.openxmlformats.org/spreadsheetml/2006/main" count="2015" uniqueCount="568">
  <si>
    <t>A. Data Bahan Struktur</t>
  </si>
  <si>
    <t>Kuat Tekan Beton</t>
  </si>
  <si>
    <t>Fc</t>
  </si>
  <si>
    <t>Mpa</t>
  </si>
  <si>
    <t>β₁</t>
  </si>
  <si>
    <t>fc  ≤ 30 Mpa</t>
  </si>
  <si>
    <t>Tegangan leleh baja untuk tegangan lentur</t>
  </si>
  <si>
    <t>Fy</t>
  </si>
  <si>
    <t>B. Data Plat Lantai</t>
  </si>
  <si>
    <t>Tabel Tebal Plat Lantai</t>
  </si>
  <si>
    <t>Type plat</t>
  </si>
  <si>
    <t>Ly</t>
  </si>
  <si>
    <t xml:space="preserve">Lx </t>
  </si>
  <si>
    <t>β</t>
  </si>
  <si>
    <t xml:space="preserve">h min </t>
  </si>
  <si>
    <t xml:space="preserve">h max </t>
  </si>
  <si>
    <t xml:space="preserve">h dipakai </t>
  </si>
  <si>
    <t>(m)</t>
  </si>
  <si>
    <t>Ly/Lx</t>
  </si>
  <si>
    <t>Panjang bentang plat arah x, (Lx)</t>
  </si>
  <si>
    <t>A</t>
  </si>
  <si>
    <t>panjang bentang plat arah y, (Ly)</t>
  </si>
  <si>
    <t>tebal plat lantai, (h)</t>
  </si>
  <si>
    <t>β1</t>
  </si>
  <si>
    <t>= 0,85</t>
  </si>
  <si>
    <t>,untuk fc’ ≤ 30 MPa</t>
  </si>
  <si>
    <t>koefisien momen plat untuk, (β)</t>
  </si>
  <si>
    <t>= 0.85 – ((fc’ – 30)/7)0.05</t>
  </si>
  <si>
    <t>,untuk  fc’ &gt;30 MPa</t>
  </si>
  <si>
    <t>= 0.65 (minimum)</t>
  </si>
  <si>
    <t>Ln</t>
  </si>
  <si>
    <t>C. Beban Plat Lantai</t>
  </si>
  <si>
    <t>1. Beban Mati (Dead Load)</t>
  </si>
  <si>
    <t>No</t>
  </si>
  <si>
    <t>Jenis Beban Mati</t>
  </si>
  <si>
    <t>Berat Satuan</t>
  </si>
  <si>
    <t>Tebal (m)</t>
  </si>
  <si>
    <t>q(KN/m²)</t>
  </si>
  <si>
    <t>Berat sendiri plat lantai (KN/m³)</t>
  </si>
  <si>
    <t>Berat spasi lantai (KN/m³)</t>
  </si>
  <si>
    <t>Berat Keramik</t>
  </si>
  <si>
    <t>-</t>
  </si>
  <si>
    <t>Urugan Pasir</t>
  </si>
  <si>
    <t>Berat plafon dan rangka (KN/m³)</t>
  </si>
  <si>
    <t>Total beban mati</t>
  </si>
  <si>
    <t>qD</t>
  </si>
  <si>
    <t>2. Beban Hidup (Live Load)</t>
  </si>
  <si>
    <t>Beban hidup pada lantai bangunan</t>
  </si>
  <si>
    <t>kg/m²</t>
  </si>
  <si>
    <t>KN/m²</t>
  </si>
  <si>
    <t>3. Beban  Rencana Terfaktor</t>
  </si>
  <si>
    <t>Beban rencana terfaktor</t>
  </si>
  <si>
    <t>qu</t>
  </si>
  <si>
    <t>4. Momen Plat Akibat Beban Terfaktor</t>
  </si>
  <si>
    <t>Tabel momen plat lantai</t>
  </si>
  <si>
    <t xml:space="preserve">Ly </t>
  </si>
  <si>
    <t>Perb. Ly/Lx</t>
  </si>
  <si>
    <t>Clx</t>
  </si>
  <si>
    <t>Cly</t>
  </si>
  <si>
    <t>Ctx</t>
  </si>
  <si>
    <t>Cty</t>
  </si>
  <si>
    <t>Mulx</t>
  </si>
  <si>
    <t>Muly</t>
  </si>
  <si>
    <t>Mutx</t>
  </si>
  <si>
    <t>Muty</t>
  </si>
  <si>
    <t xml:space="preserve">Mu Max </t>
  </si>
  <si>
    <t>(KNm/m)</t>
  </si>
  <si>
    <t>Momen lapangan arah x,</t>
  </si>
  <si>
    <t xml:space="preserve">Mulx </t>
  </si>
  <si>
    <t>Clx*0.001*qu*Lx²</t>
  </si>
  <si>
    <t>Momen lapangan arah y,</t>
  </si>
  <si>
    <t xml:space="preserve">Muly </t>
  </si>
  <si>
    <t>Cly*0.001*qu*Lx²</t>
  </si>
  <si>
    <t>Momen tumpuan arah x,</t>
  </si>
  <si>
    <t xml:space="preserve">Mutx </t>
  </si>
  <si>
    <t>Ctx*0.001*qu*Lx²</t>
  </si>
  <si>
    <t>Momen tumpuan arah y,</t>
  </si>
  <si>
    <t>Cty*0.001*qu*Lx²</t>
  </si>
  <si>
    <t>Momen rencana (Maks) plat,</t>
  </si>
  <si>
    <t>D. Penulangan Plat</t>
  </si>
  <si>
    <t>Tabel Penulangan Plat Lantai</t>
  </si>
  <si>
    <t>Type Plat</t>
  </si>
  <si>
    <t xml:space="preserve">h </t>
  </si>
  <si>
    <t xml:space="preserve">Ø </t>
  </si>
  <si>
    <t xml:space="preserve">ts </t>
  </si>
  <si>
    <t>ρb</t>
  </si>
  <si>
    <t>ᶲ</t>
  </si>
  <si>
    <t>ds = d'</t>
  </si>
  <si>
    <t xml:space="preserve">d </t>
  </si>
  <si>
    <t xml:space="preserve">b </t>
  </si>
  <si>
    <t xml:space="preserve">Rn </t>
  </si>
  <si>
    <t>ρ</t>
  </si>
  <si>
    <t>ρmin</t>
  </si>
  <si>
    <t>ρmax</t>
  </si>
  <si>
    <t>ρ (dipakai)</t>
  </si>
  <si>
    <t xml:space="preserve">As </t>
  </si>
  <si>
    <t xml:space="preserve">s </t>
  </si>
  <si>
    <t xml:space="preserve">Smax </t>
  </si>
  <si>
    <t xml:space="preserve">At </t>
  </si>
  <si>
    <t>Untuk  : fc' ≤ 30 Mpa</t>
  </si>
  <si>
    <t>(mm)</t>
  </si>
  <si>
    <t>(kN.m/m)</t>
  </si>
  <si>
    <t>(mm²)</t>
  </si>
  <si>
    <t>Faktor bentuk distribusi tegangan beton,</t>
  </si>
  <si>
    <t>Rasio tulangan pada kondisi balance,</t>
  </si>
  <si>
    <t>Faktor Reduksi Kekuatan lentur,</t>
  </si>
  <si>
    <t>Jarak tulangan Terhadap sisi luar beton,</t>
  </si>
  <si>
    <t>ds=d'</t>
  </si>
  <si>
    <t>ts+Ø/2</t>
  </si>
  <si>
    <t>mm</t>
  </si>
  <si>
    <t>Tebal efektif plat lantai,</t>
  </si>
  <si>
    <t>d</t>
  </si>
  <si>
    <t>h-ds</t>
  </si>
  <si>
    <t>Ditinjau plat lantai selebar 1 m,</t>
  </si>
  <si>
    <t>b</t>
  </si>
  <si>
    <t>Momen nominal rencana,</t>
  </si>
  <si>
    <t>Mn</t>
  </si>
  <si>
    <t>Mu/Ø</t>
  </si>
  <si>
    <t>Faktor Tahanan momen,</t>
  </si>
  <si>
    <t>Rn</t>
  </si>
  <si>
    <t>Mn*10^-6/ (b*d²)</t>
  </si>
  <si>
    <t>Rasio Tulangan yang diperlukan,</t>
  </si>
  <si>
    <t>Rasio Tulangan minimum,</t>
  </si>
  <si>
    <t>→</t>
  </si>
  <si>
    <t>Rasio tulangan yang digunakan,</t>
  </si>
  <si>
    <t>Luas tulangan yang diperlukan,</t>
  </si>
  <si>
    <t>As</t>
  </si>
  <si>
    <t>m</t>
  </si>
  <si>
    <t>mm²</t>
  </si>
  <si>
    <t>Jarak tulangan yang diperlukan,</t>
  </si>
  <si>
    <t>s</t>
  </si>
  <si>
    <t>∏/4*Ø²*b/As</t>
  </si>
  <si>
    <t>Jarak tulangan Maksimum,</t>
  </si>
  <si>
    <t>Smax</t>
  </si>
  <si>
    <t>2*h</t>
  </si>
  <si>
    <t>Jarak Sengkang yang harus digunakan</t>
  </si>
  <si>
    <t>Diambil jarak sengkang:</t>
  </si>
  <si>
    <t>Digunakan tulangan,</t>
  </si>
  <si>
    <t>luas tulangan terpakai,</t>
  </si>
  <si>
    <t>At</t>
  </si>
  <si>
    <t>∏/4*Ø²*b/s</t>
  </si>
  <si>
    <t>1,2*qD + 1,6*qL</t>
  </si>
  <si>
    <t>qL</t>
  </si>
  <si>
    <t>(0.85*fc'/fy)*β₁*(600/(600+fy))</t>
  </si>
  <si>
    <t>0.85*fc'/fy*[1-√[1-(2*Rn/(0.85*fc'))]</t>
  </si>
  <si>
    <t>spakai</t>
  </si>
  <si>
    <t>qe          =</t>
  </si>
  <si>
    <t>Nama</t>
  </si>
  <si>
    <t>Lx</t>
  </si>
  <si>
    <t>qu Plat</t>
  </si>
  <si>
    <t>qe</t>
  </si>
  <si>
    <t>Plat</t>
  </si>
  <si>
    <t>kN/m2</t>
  </si>
  <si>
    <t>kN/m'</t>
  </si>
  <si>
    <t>qu Plat :</t>
  </si>
  <si>
    <t>kN/m²</t>
  </si>
  <si>
    <t>(ambil dari perhitungan beban plat)</t>
  </si>
  <si>
    <t>0,5 * ((Ly / Lx) - 0,5 )* q * Lx²</t>
  </si>
  <si>
    <t>a</t>
  </si>
  <si>
    <t>c</t>
  </si>
  <si>
    <t>e</t>
  </si>
  <si>
    <t>f</t>
  </si>
  <si>
    <t>Mu</t>
  </si>
  <si>
    <t>Momen ultimit</t>
  </si>
  <si>
    <t>Mu Max pakai</t>
  </si>
  <si>
    <t xml:space="preserve"> </t>
  </si>
  <si>
    <t xml:space="preserve"> -</t>
  </si>
  <si>
    <t>Tebal Selimut</t>
  </si>
  <si>
    <t>ts</t>
  </si>
  <si>
    <t>Mn = Mu/ᶲ</t>
  </si>
  <si>
    <t>Diameter besi</t>
  </si>
  <si>
    <t>fy</t>
  </si>
  <si>
    <t>=</t>
  </si>
  <si>
    <t>As Balok</t>
  </si>
  <si>
    <t>h</t>
  </si>
  <si>
    <t>hmin</t>
  </si>
  <si>
    <t>h (dipakai)</t>
  </si>
  <si>
    <t>b (min)</t>
  </si>
  <si>
    <t>b (dipakai)</t>
  </si>
  <si>
    <t>qu BS</t>
  </si>
  <si>
    <t>qe Plat</t>
  </si>
  <si>
    <t>qu  Tembok</t>
  </si>
  <si>
    <t>qu total</t>
  </si>
  <si>
    <t>Momen</t>
  </si>
  <si>
    <t>V (ki)</t>
  </si>
  <si>
    <t>V (ka)</t>
  </si>
  <si>
    <t>Ket</t>
  </si>
  <si>
    <t>d'</t>
  </si>
  <si>
    <t>kN/m</t>
  </si>
  <si>
    <t>kN.m</t>
  </si>
  <si>
    <t>KN</t>
  </si>
  <si>
    <t>Bj Beton</t>
  </si>
  <si>
    <t>kN/m3</t>
  </si>
  <si>
    <t>fc</t>
  </si>
  <si>
    <t>L:</t>
  </si>
  <si>
    <t>Note :</t>
  </si>
  <si>
    <t>Balok khusus</t>
  </si>
  <si>
    <t>(3-4)</t>
  </si>
  <si>
    <t>Balok anak</t>
  </si>
  <si>
    <t>Tebal Tembok</t>
  </si>
  <si>
    <t>Tinggi Tembok</t>
  </si>
  <si>
    <t>Berat Jenis tembok</t>
  </si>
  <si>
    <t>(2-3)</t>
  </si>
  <si>
    <t>plat a</t>
  </si>
  <si>
    <t>plat b</t>
  </si>
  <si>
    <t>(4-7)</t>
  </si>
  <si>
    <t>A'</t>
  </si>
  <si>
    <t>plat d</t>
  </si>
  <si>
    <t>B</t>
  </si>
  <si>
    <t>plat b+c</t>
  </si>
  <si>
    <t>C</t>
  </si>
  <si>
    <t>(7-8)</t>
  </si>
  <si>
    <t>D</t>
  </si>
  <si>
    <t>plat c</t>
  </si>
  <si>
    <t>(A-B)</t>
  </si>
  <si>
    <t>Plat a</t>
  </si>
  <si>
    <t>Plat a+b</t>
  </si>
  <si>
    <t>(B-D)</t>
  </si>
  <si>
    <t>Plat c</t>
  </si>
  <si>
    <t>Plat c+e</t>
  </si>
  <si>
    <t>(C-D)</t>
  </si>
  <si>
    <t>Jumlah ↑</t>
  </si>
  <si>
    <t>L1</t>
  </si>
  <si>
    <t>L2</t>
  </si>
  <si>
    <t>L total</t>
  </si>
  <si>
    <t>q1</t>
  </si>
  <si>
    <t>Q1</t>
  </si>
  <si>
    <t>q2</t>
  </si>
  <si>
    <t>Q2</t>
  </si>
  <si>
    <t>Momen (ki)</t>
  </si>
  <si>
    <t>Momen (ka)</t>
  </si>
  <si>
    <t>Momen (lap)</t>
  </si>
  <si>
    <t>Perhitungan Momen Lap. pada lampiran</t>
  </si>
  <si>
    <t>KN ↑</t>
  </si>
  <si>
    <t>Plat e</t>
  </si>
  <si>
    <t>Plat d</t>
  </si>
  <si>
    <t>Plat b</t>
  </si>
  <si>
    <t>MA</t>
  </si>
  <si>
    <t>MB</t>
  </si>
  <si>
    <t>M8</t>
  </si>
  <si>
    <t>Plat f</t>
  </si>
  <si>
    <t>g</t>
  </si>
  <si>
    <t>plat g</t>
  </si>
  <si>
    <t>plat e+f</t>
  </si>
  <si>
    <t>Plat g</t>
  </si>
  <si>
    <t>P</t>
  </si>
  <si>
    <t>BALOK AS B (4-7)</t>
  </si>
  <si>
    <t>Kuat tekan beton,</t>
  </si>
  <si>
    <t>Fc'</t>
  </si>
  <si>
    <t>Tegangan leleh baja (deform) untuk tulangan lentur,</t>
  </si>
  <si>
    <t>Lebar balok</t>
  </si>
  <si>
    <t>Tinggi balok</t>
  </si>
  <si>
    <t>Diameter tulangan (deform) yang digunakan,</t>
  </si>
  <si>
    <t>Diameter sengkang (polos) yang digunakan,</t>
  </si>
  <si>
    <t>Tebal Bersih Selimut Beton,</t>
  </si>
  <si>
    <t>Momen Rencana positif akibat beban terfaktor,</t>
  </si>
  <si>
    <t>Mu +</t>
  </si>
  <si>
    <t>Momen rencana negatif akibat beban terfaktor,</t>
  </si>
  <si>
    <t>Mu -</t>
  </si>
  <si>
    <t>Gaya geser rencana akibat beban terfaktor,</t>
  </si>
  <si>
    <t>Vu</t>
  </si>
  <si>
    <t>kN</t>
  </si>
  <si>
    <t>B. PERHITUNGAN TULANGAN</t>
  </si>
  <si>
    <t>β₁* 0.85 * fc’/ fy * 600 / ( 600 + fy )</t>
  </si>
  <si>
    <t>Faktor Tahanan momen Maksimum,</t>
  </si>
  <si>
    <t>Rmax</t>
  </si>
  <si>
    <t>ns</t>
  </si>
  <si>
    <t>1. TULANGAN MOMEN POSITIF</t>
  </si>
  <si>
    <t>Momen positif nominal rencana,</t>
  </si>
  <si>
    <t>Diperkirakan jarak pusat tulangan lentur ke sisi beton,</t>
  </si>
  <si>
    <t>Tinggi efektif balok,</t>
  </si>
  <si>
    <t>h-d'</t>
  </si>
  <si>
    <t>Faktor tahanan momen,</t>
  </si>
  <si>
    <t>Rasio tulangan yang diperlukan :</t>
  </si>
  <si>
    <t>Rasio tulangan minimum,</t>
  </si>
  <si>
    <t>1,4 / fy</t>
  </si>
  <si>
    <t>ρ *b * d</t>
  </si>
  <si>
    <t>n</t>
  </si>
  <si>
    <t>n * π / 4 * D²</t>
  </si>
  <si>
    <t>2. TULANGAN MOMEN NEGATIF</t>
  </si>
  <si>
    <t>Momen negatif nominal rencana,</t>
  </si>
  <si>
    <t>√fc' /(4 * fy)</t>
  </si>
  <si>
    <t>3. TULANGAN GESER</t>
  </si>
  <si>
    <t>Gaya geser ultimit rencana,</t>
  </si>
  <si>
    <t>Faktor reduksi kekuatan geser,</t>
  </si>
  <si>
    <t>Tegangan leleh tulangan geser,</t>
  </si>
  <si>
    <t>Kuat geser beton,</t>
  </si>
  <si>
    <t>Vc</t>
  </si>
  <si>
    <t>Tahanan geser beton,</t>
  </si>
  <si>
    <t>ᶲ*Vc</t>
  </si>
  <si>
    <t>Tahanan geser sengkang,</t>
  </si>
  <si>
    <t>Kuat geser sengkang,</t>
  </si>
  <si>
    <t>Vs</t>
  </si>
  <si>
    <t>Luas tulangan geser sengkang,</t>
  </si>
  <si>
    <t>Av</t>
  </si>
  <si>
    <t>Jarak sengkang maksimum,</t>
  </si>
  <si>
    <t>smax</t>
  </si>
  <si>
    <t>d/2</t>
  </si>
  <si>
    <t>Digunakan sengkang,</t>
  </si>
  <si>
    <t>Tegangan leleh baja (polos) untuk tulangan geser,</t>
  </si>
  <si>
    <t>Syarat</t>
  </si>
  <si>
    <t>Mn &lt; Rmax → OK</t>
  </si>
  <si>
    <t>Jika Vu  ≤  ᶲ*Vc → hanya perlu tul. Geser praktis</t>
  </si>
  <si>
    <t>S</t>
  </si>
  <si>
    <t>PERHITUNGAN TULANGAN</t>
  </si>
  <si>
    <t>(kN.m)</t>
  </si>
  <si>
    <t>Ø TP</t>
  </si>
  <si>
    <t>Ø (P)</t>
  </si>
  <si>
    <t>As'</t>
  </si>
  <si>
    <t>At'</t>
  </si>
  <si>
    <t>(dipakai)</t>
  </si>
  <si>
    <t>n'</t>
  </si>
  <si>
    <t>s'</t>
  </si>
  <si>
    <t>As &lt; At</t>
  </si>
  <si>
    <t>As '&lt; At'</t>
  </si>
  <si>
    <t>Rn &lt; Rmax</t>
  </si>
  <si>
    <t>(Mpa)</t>
  </si>
  <si>
    <t>(KN)</t>
  </si>
  <si>
    <t>s (dipakai)</t>
  </si>
  <si>
    <t>Digunakan Sengkang</t>
  </si>
  <si>
    <t>ᶲ *Vs</t>
  </si>
  <si>
    <t>s perlu</t>
  </si>
  <si>
    <t xml:space="preserve">Syarat </t>
  </si>
  <si>
    <t>Ø</t>
  </si>
  <si>
    <t>Smax 1/2 d</t>
  </si>
  <si>
    <t>momen Positif</t>
  </si>
  <si>
    <t>jarak m maks</t>
  </si>
  <si>
    <t>momen Negatif ki</t>
  </si>
  <si>
    <t>momen Negatif ka</t>
  </si>
  <si>
    <t>A . Perhitungan Penulangan Pada Balok Memanjang / Arah Y</t>
  </si>
  <si>
    <t>1. Data Balok Memanjang / Arah Y</t>
  </si>
  <si>
    <t>2. Perhitungan Tulangan Momen Positif Pada Balok Memanjang / Arah Y</t>
  </si>
  <si>
    <t>3. Perhitungan Tulangan Momen Negatif Pada Balok Memanjang / Arah Y</t>
  </si>
  <si>
    <t>B. Perhitungan Tulangan Geser Pada Balok Memanjang / Arah Y</t>
  </si>
  <si>
    <t xml:space="preserve">1. Perhitungan Tulangan Geser </t>
  </si>
  <si>
    <t>A . Perhitungan Penulangan Pada Balok Melintang / Arah X</t>
  </si>
  <si>
    <t>1. Data Balok Melintang / Arah X</t>
  </si>
  <si>
    <t>2. Perhitungan Tulangan Momen Positif Pada Balok Melintang / Arah X</t>
  </si>
  <si>
    <t>3. Perhitungan Tulangan Momen Negatif Pada Balok Melintang / Arah X</t>
  </si>
  <si>
    <t>B. Perhitungan Tulangan Geser Pada Balok Melintang / Arah X</t>
  </si>
  <si>
    <t>Momen (Ki)</t>
  </si>
  <si>
    <t>Momen (Ka)</t>
  </si>
  <si>
    <t>Titik Kolom</t>
  </si>
  <si>
    <t>Tinggi</t>
  </si>
  <si>
    <t>Total V</t>
  </si>
  <si>
    <t>Reaksi Tumpuan (V)</t>
  </si>
  <si>
    <t>Total M</t>
  </si>
  <si>
    <t>Momen (M)</t>
  </si>
  <si>
    <t>Ag</t>
  </si>
  <si>
    <t>d'/h</t>
  </si>
  <si>
    <t>Sumbu Y</t>
  </si>
  <si>
    <t>emin</t>
  </si>
  <si>
    <t>Sumbu X</t>
  </si>
  <si>
    <t>r</t>
  </si>
  <si>
    <t>Mtotal / Vtotal</t>
  </si>
  <si>
    <t>ϕ</t>
  </si>
  <si>
    <t>Vt / ( ϕ * Ag * 0,85 * Fc )</t>
  </si>
  <si>
    <t>Dari Grafik</t>
  </si>
  <si>
    <t>r * β</t>
  </si>
  <si>
    <t>15 + 0,03 * h</t>
  </si>
  <si>
    <t>[Vt / ( ϕ * Ag * 0,85 * Fc )] * [e / h]</t>
  </si>
  <si>
    <t>d'/tinggi</t>
  </si>
  <si>
    <t>B3</t>
  </si>
  <si>
    <t>B4</t>
  </si>
  <si>
    <t>3(A-B) ka</t>
  </si>
  <si>
    <t>3(B-D) ki</t>
  </si>
  <si>
    <t>B(2-3) ka</t>
  </si>
  <si>
    <t>B(3-4) ki</t>
  </si>
  <si>
    <t>Balok</t>
  </si>
  <si>
    <t>(kN)</t>
  </si>
  <si>
    <t>Diagram Interaksi</t>
  </si>
  <si>
    <t>4(A-B) ka</t>
  </si>
  <si>
    <t>4(B-D) ki</t>
  </si>
  <si>
    <t>B(3-4) ka</t>
  </si>
  <si>
    <t>B(4-7) ki</t>
  </si>
  <si>
    <t>A3</t>
  </si>
  <si>
    <t>A4</t>
  </si>
  <si>
    <t>D3</t>
  </si>
  <si>
    <t>D4</t>
  </si>
  <si>
    <t>3(A-B) ki</t>
  </si>
  <si>
    <t>A(2-3) ka</t>
  </si>
  <si>
    <t>A(3-4) ki</t>
  </si>
  <si>
    <t>4(A-B) ki</t>
  </si>
  <si>
    <t>A(3-4) ka</t>
  </si>
  <si>
    <t>A(4-7) ki</t>
  </si>
  <si>
    <t>B(4-7) ka</t>
  </si>
  <si>
    <t>7(A-B) ka</t>
  </si>
  <si>
    <t>7(B-D) ki</t>
  </si>
  <si>
    <t>4(B-D) ka</t>
  </si>
  <si>
    <t>D(3-4) ka</t>
  </si>
  <si>
    <t>D(4-7) ki</t>
  </si>
  <si>
    <t>D7</t>
  </si>
  <si>
    <t>7(B-D) ka</t>
  </si>
  <si>
    <t>D(4-7) ka</t>
  </si>
  <si>
    <t>D(7-8) ki</t>
  </si>
  <si>
    <t>A2</t>
  </si>
  <si>
    <t>A7</t>
  </si>
  <si>
    <t>B2</t>
  </si>
  <si>
    <t>C8</t>
  </si>
  <si>
    <t>D8</t>
  </si>
  <si>
    <t>2(A-B) ki</t>
  </si>
  <si>
    <t>A(2-3) ki</t>
  </si>
  <si>
    <t>7(A-B) ki</t>
  </si>
  <si>
    <t>A(4-7) ka</t>
  </si>
  <si>
    <t>2(A-B) ka</t>
  </si>
  <si>
    <t>B(2-3) ki</t>
  </si>
  <si>
    <t>8(C-D) ki</t>
  </si>
  <si>
    <t>C(7-8) ka</t>
  </si>
  <si>
    <t>3(B-D) ka</t>
  </si>
  <si>
    <t>D(3-4) ki</t>
  </si>
  <si>
    <t>8(C-D) ka</t>
  </si>
  <si>
    <t>D(7-8) ka</t>
  </si>
  <si>
    <t>d' (1)</t>
  </si>
  <si>
    <t>d' (2)</t>
  </si>
  <si>
    <t>d' (3)</t>
  </si>
  <si>
    <t>ρg * b * h</t>
  </si>
  <si>
    <t>S = ( b - (2p+2 Ø*skg + n*ØTP))/(n-1)</t>
  </si>
  <si>
    <t>ρg</t>
  </si>
  <si>
    <t>As &lt; At → OK</t>
  </si>
  <si>
    <t>25 mm &lt; S → OK</t>
  </si>
  <si>
    <t>Luas tulangan yang diperlukan, (tulangan tarik)</t>
  </si>
  <si>
    <t>Jumlah tulangan yang diperlukan,  (tulangan tarik)</t>
  </si>
  <si>
    <t>Digunakan tulangan,  (tulangan tarik)</t>
  </si>
  <si>
    <t>Luas tulangan terpakai,  (tulangan tarik)</t>
  </si>
  <si>
    <t>Jarak sisi luar antar tulangan pokok,  (tulangan tarik)</t>
  </si>
  <si>
    <t>Luas tulangan yang diperlukan, (tulangan tekan)</t>
  </si>
  <si>
    <t>Jumlah tulangan yang diperlukan,  (tulangan tekan)</t>
  </si>
  <si>
    <t>Digunakan tulangan,  (tulangan tekan)</t>
  </si>
  <si>
    <t>Luas tulangan terpakai,  (tulangan tekan)</t>
  </si>
  <si>
    <t>Jarak sisi luar antar tulangan pokok,  (tulangan tekan)</t>
  </si>
  <si>
    <t>S'</t>
  </si>
  <si>
    <t>s ≥ 25 mm</t>
  </si>
  <si>
    <t>s' ≥ 25 mm</t>
  </si>
  <si>
    <t>ᶲ * Vc</t>
  </si>
  <si>
    <r>
      <t>(mm</t>
    </r>
    <r>
      <rPr>
        <b/>
        <sz val="12"/>
        <color indexed="8"/>
        <rFont val="Times New Roman"/>
        <family val="1"/>
      </rPr>
      <t>²)</t>
    </r>
  </si>
  <si>
    <t>n (dipakai min 2 bh)</t>
  </si>
  <si>
    <t>n' (dipakai Min 2 bh)</t>
  </si>
  <si>
    <t>`</t>
  </si>
  <si>
    <t>Jarak sengkang yang diperlukan,</t>
  </si>
  <si>
    <t>VS  &gt; 1/3 √fc’ * b * d → Smaks  adalah nilai terkecil antara 1/4 d dan 300 mm</t>
  </si>
  <si>
    <t xml:space="preserve"> VS &lt; 1/3 √fc’ * b * d → Smaks  adalah nilai terkecil antara 1/2 d dan 600 mm</t>
  </si>
  <si>
    <t>Jarak sengkang yang   digunakan,</t>
  </si>
  <si>
    <r>
      <rPr>
        <sz val="12"/>
        <color indexed="8"/>
        <rFont val="Times New Roman"/>
        <family val="1"/>
      </rPr>
      <t>ᶲ*Vs</t>
    </r>
  </si>
  <si>
    <r>
      <t xml:space="preserve">0.75 * </t>
    </r>
    <r>
      <rPr>
        <sz val="12"/>
        <color indexed="8"/>
        <rFont val="Times New Roman"/>
        <family val="1"/>
      </rPr>
      <t xml:space="preserve">ρb * fy * [1 – ½*0.75* ρb * fy / ( 0.85 * fc’ ) </t>
    </r>
  </si>
  <si>
    <r>
      <t>Mu</t>
    </r>
    <r>
      <rPr>
        <sz val="12"/>
        <color indexed="8"/>
        <rFont val="Times New Roman"/>
        <family val="1"/>
      </rPr>
      <t>ᶧ/ᶲ</t>
    </r>
  </si>
  <si>
    <r>
      <t>Mn * 10</t>
    </r>
    <r>
      <rPr>
        <sz val="12"/>
        <color indexed="8"/>
        <rFont val="Times New Roman"/>
        <family val="1"/>
      </rPr>
      <t>⁶ / ( b*d²)</t>
    </r>
  </si>
  <si>
    <r>
      <t xml:space="preserve"> 0,85 * fc’ / fy * [ 1 - </t>
    </r>
    <r>
      <rPr>
        <sz val="12"/>
        <color indexed="8"/>
        <rFont val="Times New Roman"/>
        <family val="1"/>
      </rPr>
      <t>√ * [1 – 2 * Rn / ( 0,85 * fc’ ) ]</t>
    </r>
  </si>
  <si>
    <r>
      <t>As / (</t>
    </r>
    <r>
      <rPr>
        <sz val="12"/>
        <color indexed="8"/>
        <rFont val="Times New Roman"/>
        <family val="1"/>
      </rPr>
      <t>π / 4 * D²)</t>
    </r>
  </si>
  <si>
    <r>
      <t>Mu</t>
    </r>
    <r>
      <rPr>
        <sz val="12"/>
        <color indexed="8"/>
        <rFont val="Times New Roman"/>
        <family val="1"/>
      </rPr>
      <t>⁻/ᶲ</t>
    </r>
  </si>
  <si>
    <r>
      <t xml:space="preserve"> 0.85 * fc’ / fy * [ 1 - </t>
    </r>
    <r>
      <rPr>
        <sz val="12"/>
        <color indexed="8"/>
        <rFont val="Times New Roman"/>
        <family val="1"/>
      </rPr>
      <t>√ * [1 – 2 * Rn / ( 0.85 * fc’ ) ]</t>
    </r>
  </si>
  <si>
    <r>
      <t>(</t>
    </r>
    <r>
      <rPr>
        <sz val="12"/>
        <color indexed="8"/>
        <rFont val="Times New Roman"/>
        <family val="1"/>
      </rPr>
      <t>√fc')/6*b*d*10⁻³</t>
    </r>
  </si>
  <si>
    <r>
      <t xml:space="preserve">Vu - </t>
    </r>
    <r>
      <rPr>
        <sz val="12"/>
        <color indexed="8"/>
        <rFont val="Times New Roman"/>
        <family val="1"/>
      </rPr>
      <t>ᶲ * Vc</t>
    </r>
  </si>
  <si>
    <r>
      <t xml:space="preserve">ns * </t>
    </r>
    <r>
      <rPr>
        <sz val="12"/>
        <color indexed="8"/>
        <rFont val="Times New Roman"/>
        <family val="1"/>
      </rPr>
      <t>π / 4 * P²</t>
    </r>
  </si>
  <si>
    <r>
      <t>Av * fy * d / (Vs * 10</t>
    </r>
    <r>
      <rPr>
        <sz val="12"/>
        <color indexed="8"/>
        <rFont val="Times New Roman"/>
        <family val="1"/>
      </rPr>
      <t>³)</t>
    </r>
  </si>
  <si>
    <t>kNm</t>
  </si>
  <si>
    <r>
      <t xml:space="preserve">P </t>
    </r>
    <r>
      <rPr>
        <b/>
        <sz val="12"/>
        <color indexed="8"/>
        <rFont val="Times New Roman"/>
        <family val="1"/>
      </rPr>
      <t>↑</t>
    </r>
  </si>
  <si>
    <r>
      <t xml:space="preserve">q1 </t>
    </r>
    <r>
      <rPr>
        <b/>
        <sz val="12"/>
        <color indexed="8"/>
        <rFont val="Times New Roman"/>
        <family val="1"/>
      </rPr>
      <t>↑</t>
    </r>
  </si>
  <si>
    <r>
      <t xml:space="preserve">q2 </t>
    </r>
    <r>
      <rPr>
        <b/>
        <sz val="12"/>
        <color indexed="8"/>
        <rFont val="Times New Roman"/>
        <family val="1"/>
      </rPr>
      <t>↑</t>
    </r>
  </si>
  <si>
    <r>
      <t xml:space="preserve">M4 </t>
    </r>
    <r>
      <rPr>
        <b/>
        <sz val="12"/>
        <color indexed="8"/>
        <rFont val="Times New Roman"/>
        <family val="1"/>
      </rPr>
      <t>↑</t>
    </r>
  </si>
  <si>
    <r>
      <t>M7</t>
    </r>
    <r>
      <rPr>
        <b/>
        <sz val="12"/>
        <color indexed="8"/>
        <rFont val="Times New Roman"/>
        <family val="1"/>
      </rPr>
      <t>↓</t>
    </r>
  </si>
  <si>
    <r>
      <t xml:space="preserve">M4 </t>
    </r>
    <r>
      <rPr>
        <b/>
        <sz val="12"/>
        <color indexed="8"/>
        <rFont val="Times New Roman"/>
        <family val="1"/>
      </rPr>
      <t>↓</t>
    </r>
  </si>
  <si>
    <r>
      <t xml:space="preserve">M7 </t>
    </r>
    <r>
      <rPr>
        <b/>
        <sz val="12"/>
        <color indexed="8"/>
        <rFont val="Times New Roman"/>
        <family val="1"/>
      </rPr>
      <t>↑</t>
    </r>
  </si>
  <si>
    <r>
      <t xml:space="preserve">M7 </t>
    </r>
    <r>
      <rPr>
        <b/>
        <sz val="12"/>
        <color indexed="8"/>
        <rFont val="Times New Roman"/>
        <family val="1"/>
      </rPr>
      <t>↓</t>
    </r>
  </si>
  <si>
    <t>Perhitungan Momen Pada Balok Induk Memanjang / Arah Y</t>
  </si>
  <si>
    <t>Perhitungan Reaksi Tumpuan</t>
  </si>
  <si>
    <t>KET : TIDAK MASUK DALAM PERHITUNGAN (HANYA UNTUK PENGECEKAN)</t>
  </si>
  <si>
    <t>A. Perhitungan q equivalen plat</t>
  </si>
  <si>
    <t>B. Perhitungan Momen Pada Balok Memanjang / Arah Y</t>
  </si>
  <si>
    <t>C. Perhitungan Momen Pada Balok Melintang / Arah X</t>
  </si>
  <si>
    <t>Perhitungan Momen Pada Balok Induk Melintang / Arah X</t>
  </si>
  <si>
    <t xml:space="preserve">A. DATA BALOK </t>
  </si>
  <si>
    <t>1. BAHAN STRUKTUR</t>
  </si>
  <si>
    <t>2. DIMENSI BALOK</t>
  </si>
  <si>
    <t>3. MOMEN DAN GAYA GESER RENCANA</t>
  </si>
  <si>
    <t xml:space="preserve">A. Data Kolom </t>
  </si>
  <si>
    <t>Ø S</t>
  </si>
  <si>
    <t>Diameter tulangan pokok,</t>
  </si>
  <si>
    <t>Diameter sengkang</t>
  </si>
  <si>
    <t>Ts</t>
  </si>
  <si>
    <t>B. Diagram Interaksi</t>
  </si>
  <si>
    <t>Dari diagram interaksi,</t>
  </si>
  <si>
    <t>Sumbu Y diagram interaksi,</t>
  </si>
  <si>
    <t>Sumbu X diagram interaksi</t>
  </si>
  <si>
    <t>C. Perhitungan Penulangan</t>
  </si>
  <si>
    <t xml:space="preserve">Luas tulangan yang diperlukan, </t>
  </si>
  <si>
    <t>Tebal selimut beton,</t>
  </si>
  <si>
    <t xml:space="preserve">Tabel Reaksi Tumpuan dan Momen Pada Balok </t>
  </si>
  <si>
    <t>Luas penampang,</t>
  </si>
  <si>
    <t xml:space="preserve">Jumlah tulangan yang diperlukan,  </t>
  </si>
  <si>
    <t xml:space="preserve">Digunakan tulangan, </t>
  </si>
  <si>
    <t xml:space="preserve">Luas tulangan terpakai,  </t>
  </si>
  <si>
    <t>bh</t>
  </si>
  <si>
    <t>1. Kolom Tengah</t>
  </si>
  <si>
    <t>Tabel Perhitungan Penulangan Kolom</t>
  </si>
  <si>
    <t>2. Kolom Samping</t>
  </si>
  <si>
    <t>3. Kolom Ujung</t>
  </si>
  <si>
    <t>n (dipakai min 4 bh)</t>
  </si>
  <si>
    <t xml:space="preserve">Tinggi kolom, </t>
  </si>
  <si>
    <t>lk</t>
  </si>
  <si>
    <t>Lebar penampang kolom,</t>
  </si>
  <si>
    <t>Tinggi penampang kolom,</t>
  </si>
  <si>
    <t>B7</t>
  </si>
  <si>
    <t>Tulangan Tarik</t>
  </si>
  <si>
    <t>Tulangan Tekan</t>
  </si>
  <si>
    <t>Keterangan</t>
  </si>
  <si>
    <t>B1</t>
  </si>
  <si>
    <t>BA1</t>
  </si>
  <si>
    <t>B5</t>
  </si>
  <si>
    <t>BA2</t>
  </si>
  <si>
    <t>B6</t>
  </si>
  <si>
    <t>BA3</t>
  </si>
  <si>
    <t>Tabel Rekapitulasi Penulangan Balok Memanjang / Arah Y</t>
  </si>
  <si>
    <t>Tabel Rekapitulasi Penulangan Balok Melintang / Arah X</t>
  </si>
  <si>
    <t>0,25 *  q * Lx</t>
  </si>
  <si>
    <t>Tabel Rekapitulasi Penulangan Kolom</t>
  </si>
  <si>
    <t>K1</t>
  </si>
  <si>
    <t>K2</t>
  </si>
  <si>
    <t>K3</t>
  </si>
  <si>
    <t>K4</t>
  </si>
  <si>
    <t>K5</t>
  </si>
  <si>
    <t>K6</t>
  </si>
  <si>
    <t>K7</t>
  </si>
  <si>
    <t>D TP</t>
  </si>
  <si>
    <t>syarat????</t>
  </si>
  <si>
    <t>Penulangan lapangan</t>
  </si>
  <si>
    <t>penulangan tumpuan</t>
  </si>
  <si>
    <t>Σ tul tarik</t>
  </si>
  <si>
    <t>Σ tul tekan</t>
  </si>
  <si>
    <t xml:space="preserve">Sengkanglapangan </t>
  </si>
  <si>
    <t>sengkang lapangan dipoakai besi 8-200 karena gaya geser daerah lapangan lebih kecil</t>
  </si>
  <si>
    <t>Tabel q eqivalen plat lantai</t>
  </si>
  <si>
    <t>besi polos</t>
  </si>
  <si>
    <t>perkiraan tinggi balok</t>
  </si>
  <si>
    <t>h= (1/10-1/16)L</t>
  </si>
  <si>
    <t xml:space="preserve">b = (1/2- 3/4) h </t>
  </si>
  <si>
    <t>bs tembok = tebal x tinggi x bj pas</t>
  </si>
  <si>
    <t>bs balok = b x h x bj beton</t>
  </si>
  <si>
    <t>Mu = 1/12 x qu x L^2</t>
  </si>
  <si>
    <t>baik tumpuan atau lapangan</t>
  </si>
  <si>
    <t>balok As A (3-4)</t>
  </si>
  <si>
    <t>V4</t>
  </si>
  <si>
    <t>V3=V4 = 0,5 x qu total x L</t>
  </si>
  <si>
    <t>P atau V dari balok anak</t>
  </si>
  <si>
    <t>L1= 3,00M</t>
  </si>
  <si>
    <t>L2=1M</t>
  </si>
  <si>
    <t>V7</t>
  </si>
  <si>
    <t>v AS 6</t>
  </si>
  <si>
    <t>M4</t>
  </si>
  <si>
    <t>M7</t>
  </si>
  <si>
    <r>
      <rPr>
        <sz val="12"/>
        <color theme="1"/>
        <rFont val="Arial"/>
        <family val="2"/>
      </rPr>
      <t>Σ</t>
    </r>
    <r>
      <rPr>
        <sz val="16.8"/>
        <color theme="1"/>
        <rFont val="Times New Roman"/>
        <family val="1"/>
      </rPr>
      <t>M7 = 0</t>
    </r>
  </si>
  <si>
    <r>
      <rPr>
        <sz val="12"/>
        <color theme="1"/>
        <rFont val="Arial"/>
        <family val="2"/>
      </rPr>
      <t>Σ</t>
    </r>
    <r>
      <rPr>
        <sz val="16.8"/>
        <color theme="1"/>
        <rFont val="Times New Roman"/>
        <family val="1"/>
      </rPr>
      <t>M4 = 0</t>
    </r>
  </si>
  <si>
    <t>V7 = ketemu</t>
  </si>
  <si>
    <t>Mq1</t>
  </si>
  <si>
    <t>Mq2</t>
  </si>
  <si>
    <t>Mp</t>
  </si>
  <si>
    <t>Mki total</t>
  </si>
  <si>
    <r>
      <rPr>
        <sz val="10"/>
        <color theme="1"/>
        <rFont val="Arial"/>
        <family val="2"/>
      </rPr>
      <t>ά1</t>
    </r>
    <r>
      <rPr>
        <sz val="10"/>
        <color theme="1"/>
        <rFont val="Times New Roman"/>
        <family val="1"/>
      </rPr>
      <t>=L1/L</t>
    </r>
  </si>
  <si>
    <r>
      <rPr>
        <sz val="10"/>
        <color theme="1"/>
        <rFont val="Arial"/>
        <family val="2"/>
      </rPr>
      <t>ά2</t>
    </r>
    <r>
      <rPr>
        <sz val="10"/>
        <color theme="1"/>
        <rFont val="Times New Roman"/>
        <family val="1"/>
      </rPr>
      <t>=L2/L</t>
    </r>
  </si>
  <si>
    <t>Mkiri</t>
  </si>
  <si>
    <t>Mka</t>
  </si>
  <si>
    <t>M tumpuan</t>
  </si>
  <si>
    <t>V4. L -(q1.L1).(L2+0,5L1) - P.L2 - (q2.L2).0,5L2 - M4 + M7 = 0</t>
  </si>
  <si>
    <t>V4=((q1.L1).(L2+0,5L1) + P.L2+ (q2.L2).0,5L2 + M4 - M7)/L</t>
  </si>
  <si>
    <t>Vki</t>
  </si>
  <si>
    <t>ρ kurang dari rho min artinya dimensi terlalu besar harus diperkecil</t>
  </si>
  <si>
    <t>ρ lbh besar dari rho max artinya dimensi terlalu kecil harus diperbesar</t>
  </si>
  <si>
    <t>Plat lantai minimal 12 cm atau 0,12 m</t>
  </si>
  <si>
    <t>Plat atap minimal 8 cm atau 0,08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</si>
</sst>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"/>
    <numFmt numFmtId="167" formatCode="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9"/>
      <color indexed="81"/>
      <name val="Calibri"/>
      <family val="2"/>
    </font>
    <font>
      <sz val="8.1999999999999993"/>
      <color indexed="81"/>
      <name val="Tahoma"/>
      <family val="2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sz val="16.8"/>
      <color theme="1"/>
      <name val="Times New Roman"/>
      <family val="1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14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9" fillId="2" borderId="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7" fillId="0" borderId="8" xfId="0" applyFont="1" applyBorder="1"/>
    <xf numFmtId="0" fontId="10" fillId="0" borderId="2" xfId="0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164" fontId="7" fillId="0" borderId="3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1" fillId="0" borderId="13" xfId="0" applyNumberFormat="1" applyFont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2" fontId="11" fillId="0" borderId="15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7" fillId="0" borderId="15" xfId="0" applyNumberFormat="1" applyFont="1" applyBorder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11" fillId="0" borderId="15" xfId="0" quotePrefix="1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4" fontId="11" fillId="0" borderId="15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166" fontId="11" fillId="0" borderId="3" xfId="0" applyNumberFormat="1" applyFont="1" applyBorder="1" applyAlignment="1">
      <alignment horizontal="center" vertical="center"/>
    </xf>
    <xf numFmtId="166" fontId="11" fillId="0" borderId="15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7" fillId="0" borderId="13" xfId="0" applyNumberFormat="1" applyFont="1" applyBorder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quotePrefix="1" applyFont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164" fontId="9" fillId="0" borderId="3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4" xfId="0" applyFont="1" applyBorder="1" applyAlignment="1">
      <alignment horizontal="center"/>
    </xf>
    <xf numFmtId="164" fontId="10" fillId="0" borderId="14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7" fillId="0" borderId="1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7" fillId="0" borderId="15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9" fillId="0" borderId="0" xfId="0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7" fillId="0" borderId="13" xfId="0" applyFont="1" applyBorder="1" applyAlignment="1">
      <alignment vertical="center"/>
    </xf>
    <xf numFmtId="0" fontId="11" fillId="0" borderId="14" xfId="0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14" fillId="0" borderId="14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2" borderId="3" xfId="0" applyFont="1" applyFill="1" applyBorder="1"/>
    <xf numFmtId="0" fontId="9" fillId="2" borderId="2" xfId="0" applyFont="1" applyFill="1" applyBorder="1" applyAlignment="1">
      <alignment vertical="center"/>
    </xf>
    <xf numFmtId="164" fontId="7" fillId="0" borderId="0" xfId="0" applyNumberFormat="1" applyFont="1" applyAlignment="1">
      <alignment vertical="center"/>
    </xf>
    <xf numFmtId="1" fontId="7" fillId="0" borderId="13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7" fillId="4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2" fontId="7" fillId="0" borderId="0" xfId="0" applyNumberFormat="1" applyFont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64" fontId="7" fillId="0" borderId="11" xfId="0" applyNumberFormat="1" applyFont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64" fontId="7" fillId="0" borderId="9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164" fontId="7" fillId="6" borderId="1" xfId="0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/>
    </xf>
    <xf numFmtId="164" fontId="7" fillId="7" borderId="1" xfId="0" applyNumberFormat="1" applyFont="1" applyFill="1" applyBorder="1" applyAlignment="1">
      <alignment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vertical="center"/>
    </xf>
    <xf numFmtId="164" fontId="7" fillId="8" borderId="1" xfId="0" applyNumberFormat="1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vertical="center"/>
    </xf>
    <xf numFmtId="0" fontId="7" fillId="8" borderId="2" xfId="0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right" vertical="center"/>
    </xf>
    <xf numFmtId="164" fontId="9" fillId="0" borderId="15" xfId="0" applyNumberFormat="1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1" xfId="0" applyFont="1" applyBorder="1" applyAlignment="1">
      <alignment horizontal="right" vertical="center"/>
    </xf>
    <xf numFmtId="0" fontId="9" fillId="2" borderId="14" xfId="0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164" fontId="7" fillId="0" borderId="17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164" fontId="7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0" xfId="0" applyFont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/>
    </xf>
    <xf numFmtId="1" fontId="14" fillId="0" borderId="15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15" xfId="0" applyNumberFormat="1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2" fontId="11" fillId="2" borderId="15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166" fontId="11" fillId="2" borderId="3" xfId="0" applyNumberFormat="1" applyFont="1" applyFill="1" applyBorder="1" applyAlignment="1">
      <alignment horizontal="center" vertical="center"/>
    </xf>
    <xf numFmtId="166" fontId="11" fillId="2" borderId="15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2" fontId="7" fillId="2" borderId="15" xfId="0" applyNumberFormat="1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/>
    </xf>
    <xf numFmtId="166" fontId="7" fillId="2" borderId="15" xfId="0" applyNumberFormat="1" applyFont="1" applyFill="1" applyBorder="1" applyAlignment="1">
      <alignment horizontal="center" vertical="center"/>
    </xf>
    <xf numFmtId="166" fontId="7" fillId="2" borderId="3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vertical="center"/>
    </xf>
    <xf numFmtId="0" fontId="11" fillId="2" borderId="9" xfId="0" applyFont="1" applyFill="1" applyBorder="1" applyAlignment="1">
      <alignment horizontal="left" vertical="center"/>
    </xf>
    <xf numFmtId="164" fontId="11" fillId="2" borderId="3" xfId="0" applyNumberFormat="1" applyFont="1" applyFill="1" applyBorder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0" fontId="11" fillId="2" borderId="15" xfId="0" quotePrefix="1" applyFont="1" applyFill="1" applyBorder="1" applyAlignment="1">
      <alignment horizontal="center" vertical="center"/>
    </xf>
    <xf numFmtId="1" fontId="11" fillId="2" borderId="12" xfId="0" applyNumberFormat="1" applyFont="1" applyFill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center" vertical="center"/>
    </xf>
    <xf numFmtId="164" fontId="7" fillId="9" borderId="1" xfId="0" applyNumberFormat="1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164" fontId="9" fillId="9" borderId="2" xfId="0" applyNumberFormat="1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164" fontId="7" fillId="9" borderId="2" xfId="0" applyNumberFormat="1" applyFont="1" applyFill="1" applyBorder="1" applyAlignment="1">
      <alignment horizontal="center" vertical="center"/>
    </xf>
    <xf numFmtId="0" fontId="7" fillId="9" borderId="2" xfId="0" applyFont="1" applyFill="1" applyBorder="1" applyAlignment="1">
      <alignment vertical="center"/>
    </xf>
    <xf numFmtId="0" fontId="9" fillId="9" borderId="3" xfId="0" applyFont="1" applyFill="1" applyBorder="1" applyAlignment="1">
      <alignment horizontal="center" vertical="center"/>
    </xf>
    <xf numFmtId="164" fontId="9" fillId="9" borderId="3" xfId="0" applyNumberFormat="1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164" fontId="7" fillId="9" borderId="3" xfId="0" applyNumberFormat="1" applyFont="1" applyFill="1" applyBorder="1" applyAlignment="1">
      <alignment horizontal="center" vertical="center"/>
    </xf>
    <xf numFmtId="0" fontId="7" fillId="9" borderId="3" xfId="0" applyFont="1" applyFill="1" applyBorder="1" applyAlignment="1">
      <alignment vertical="center"/>
    </xf>
    <xf numFmtId="0" fontId="9" fillId="9" borderId="1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164" fontId="7" fillId="9" borderId="0" xfId="0" applyNumberFormat="1" applyFont="1" applyFill="1" applyAlignment="1">
      <alignment horizontal="center" vertical="center"/>
    </xf>
    <xf numFmtId="164" fontId="7" fillId="9" borderId="13" xfId="0" applyNumberFormat="1" applyFont="1" applyFill="1" applyBorder="1" applyAlignment="1">
      <alignment horizontal="center" vertical="center"/>
    </xf>
    <xf numFmtId="2" fontId="7" fillId="9" borderId="0" xfId="0" applyNumberFormat="1" applyFont="1" applyFill="1" applyAlignment="1">
      <alignment horizontal="center" vertical="center"/>
    </xf>
    <xf numFmtId="164" fontId="7" fillId="9" borderId="15" xfId="0" applyNumberFormat="1" applyFont="1" applyFill="1" applyBorder="1" applyAlignment="1">
      <alignment horizontal="center" vertical="center"/>
    </xf>
    <xf numFmtId="2" fontId="7" fillId="9" borderId="15" xfId="0" applyNumberFormat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164" fontId="10" fillId="9" borderId="2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14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14" fillId="9" borderId="8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4" fillId="9" borderId="9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164" fontId="10" fillId="9" borderId="3" xfId="0" applyNumberFormat="1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11" fillId="9" borderId="15" xfId="0" applyNumberFormat="1" applyFont="1" applyFill="1" applyBorder="1" applyAlignment="1">
      <alignment horizontal="center" vertical="center"/>
    </xf>
    <xf numFmtId="2" fontId="11" fillId="9" borderId="3" xfId="0" applyNumberFormat="1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2" fontId="11" fillId="9" borderId="15" xfId="0" applyNumberFormat="1" applyFont="1" applyFill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166" fontId="11" fillId="9" borderId="3" xfId="0" applyNumberFormat="1" applyFont="1" applyFill="1" applyBorder="1" applyAlignment="1">
      <alignment horizontal="center" vertical="center"/>
    </xf>
    <xf numFmtId="166" fontId="11" fillId="9" borderId="15" xfId="0" applyNumberFormat="1" applyFont="1" applyFill="1" applyBorder="1" applyAlignment="1">
      <alignment horizontal="center" vertical="center"/>
    </xf>
    <xf numFmtId="0" fontId="14" fillId="9" borderId="11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4" fillId="9" borderId="15" xfId="0" applyFont="1" applyFill="1" applyBorder="1" applyAlignment="1">
      <alignment horizontal="center" vertical="center"/>
    </xf>
    <xf numFmtId="2" fontId="11" fillId="9" borderId="13" xfId="0" applyNumberFormat="1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1" fillId="9" borderId="13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1" fontId="7" fillId="9" borderId="13" xfId="0" applyNumberFormat="1" applyFont="1" applyFill="1" applyBorder="1" applyAlignment="1">
      <alignment horizontal="center" vertical="center"/>
    </xf>
    <xf numFmtId="1" fontId="7" fillId="9" borderId="7" xfId="0" applyNumberFormat="1" applyFont="1" applyFill="1" applyBorder="1" applyAlignment="1">
      <alignment horizontal="center" vertical="center"/>
    </xf>
    <xf numFmtId="2" fontId="7" fillId="9" borderId="8" xfId="0" applyNumberFormat="1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7" fillId="9" borderId="9" xfId="0" applyFont="1" applyFill="1" applyBorder="1" applyAlignment="1">
      <alignment vertical="center"/>
    </xf>
    <xf numFmtId="0" fontId="7" fillId="9" borderId="13" xfId="0" applyFont="1" applyFill="1" applyBorder="1" applyAlignment="1">
      <alignment vertical="center"/>
    </xf>
    <xf numFmtId="0" fontId="7" fillId="9" borderId="10" xfId="0" applyFont="1" applyFill="1" applyBorder="1" applyAlignment="1">
      <alignment horizontal="center" vertical="center"/>
    </xf>
    <xf numFmtId="2" fontId="7" fillId="9" borderId="2" xfId="0" applyNumberFormat="1" applyFont="1" applyFill="1" applyBorder="1" applyAlignment="1">
      <alignment horizontal="center" vertical="center"/>
    </xf>
    <xf numFmtId="0" fontId="7" fillId="9" borderId="0" xfId="0" applyFont="1" applyFill="1" applyAlignment="1">
      <alignment vertical="center"/>
    </xf>
    <xf numFmtId="2" fontId="7" fillId="9" borderId="7" xfId="0" applyNumberFormat="1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  <xf numFmtId="164" fontId="9" fillId="9" borderId="12" xfId="0" applyNumberFormat="1" applyFont="1" applyFill="1" applyBorder="1" applyAlignment="1">
      <alignment horizontal="center" vertical="center"/>
    </xf>
    <xf numFmtId="164" fontId="7" fillId="9" borderId="11" xfId="0" applyNumberFormat="1" applyFont="1" applyFill="1" applyBorder="1" applyAlignment="1">
      <alignment horizontal="center" vertical="center"/>
    </xf>
    <xf numFmtId="164" fontId="7" fillId="9" borderId="12" xfId="0" applyNumberFormat="1" applyFont="1" applyFill="1" applyBorder="1" applyAlignment="1">
      <alignment horizontal="center" vertical="center"/>
    </xf>
    <xf numFmtId="0" fontId="9" fillId="9" borderId="0" xfId="0" applyFont="1" applyFill="1" applyAlignment="1">
      <alignment horizontal="left" vertical="center"/>
    </xf>
    <xf numFmtId="0" fontId="9" fillId="9" borderId="14" xfId="0" applyFont="1" applyFill="1" applyBorder="1" applyAlignment="1">
      <alignment horizontal="center" vertical="center"/>
    </xf>
    <xf numFmtId="0" fontId="9" fillId="9" borderId="15" xfId="0" applyFont="1" applyFill="1" applyBorder="1" applyAlignment="1">
      <alignment horizontal="right" vertical="center"/>
    </xf>
    <xf numFmtId="164" fontId="9" fillId="9" borderId="15" xfId="0" applyNumberFormat="1" applyFont="1" applyFill="1" applyBorder="1" applyAlignment="1">
      <alignment horizontal="left" vertical="center"/>
    </xf>
    <xf numFmtId="164" fontId="7" fillId="9" borderId="7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164" fontId="7" fillId="2" borderId="2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164" fontId="7" fillId="2" borderId="12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9" fillId="2" borderId="8" xfId="0" applyNumberFormat="1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" fontId="9" fillId="2" borderId="11" xfId="0" applyNumberFormat="1" applyFont="1" applyFill="1" applyBorder="1" applyAlignment="1">
      <alignment horizontal="center" vertical="center"/>
    </xf>
    <xf numFmtId="1" fontId="9" fillId="2" borderId="15" xfId="0" applyNumberFormat="1" applyFont="1" applyFill="1" applyBorder="1" applyAlignment="1">
      <alignment horizontal="center" vertical="center"/>
    </xf>
    <xf numFmtId="1" fontId="9" fillId="2" borderId="12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center" vertical="center"/>
    </xf>
    <xf numFmtId="164" fontId="7" fillId="9" borderId="10" xfId="0" applyNumberFormat="1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Relationship Id="rId9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19.jpeg"/><Relationship Id="rId1" Type="http://schemas.openxmlformats.org/officeDocument/2006/relationships/image" Target="../media/image18.png"/><Relationship Id="rId4" Type="http://schemas.openxmlformats.org/officeDocument/2006/relationships/image" Target="../media/image2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2295525</xdr:colOff>
      <xdr:row>6</xdr:row>
      <xdr:rowOff>38100</xdr:rowOff>
    </xdr:from>
    <xdr:to>
      <xdr:col>3</xdr:col>
      <xdr:colOff>403514</xdr:colOff>
      <xdr:row>9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15" t="17123" r="10097" b="47945"/>
        <a:stretch>
          <a:fillRect/>
        </a:stretch>
      </xdr:blipFill>
      <xdr:spPr bwMode="auto">
        <a:xfrm>
          <a:off x="2638425" y="990600"/>
          <a:ext cx="1451264" cy="609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226868</xdr:colOff>
      <xdr:row>6</xdr:row>
      <xdr:rowOff>143741</xdr:rowOff>
    </xdr:from>
    <xdr:to>
      <xdr:col>5</xdr:col>
      <xdr:colOff>589684</xdr:colOff>
      <xdr:row>9</xdr:row>
      <xdr:rowOff>58016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98" t="19643" r="13927" b="52682"/>
        <a:stretch>
          <a:fillRect/>
        </a:stretch>
      </xdr:blipFill>
      <xdr:spPr bwMode="auto">
        <a:xfrm>
          <a:off x="4532168" y="1096241"/>
          <a:ext cx="1410566" cy="514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23</xdr:col>
      <xdr:colOff>600075</xdr:colOff>
      <xdr:row>0</xdr:row>
      <xdr:rowOff>0</xdr:rowOff>
    </xdr:from>
    <xdr:to>
      <xdr:col>36</xdr:col>
      <xdr:colOff>384175</xdr:colOff>
      <xdr:row>14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2" t="26276" r="9280" b="23532"/>
        <a:stretch/>
      </xdr:blipFill>
      <xdr:spPr>
        <a:xfrm>
          <a:off x="17783175" y="0"/>
          <a:ext cx="8086725" cy="2838450"/>
        </a:xfrm>
        <a:prstGeom prst="rect">
          <a:avLst/>
        </a:prstGeom>
      </xdr:spPr>
    </xdr:pic>
    <xdr:clientData/>
  </xdr:twoCellAnchor>
  <xdr:twoCellAnchor editAs="oneCell">
    <xdr:from>
      <xdr:col>18</xdr:col>
      <xdr:colOff>630234</xdr:colOff>
      <xdr:row>0</xdr:row>
      <xdr:rowOff>0</xdr:rowOff>
    </xdr:from>
    <xdr:to>
      <xdr:col>23</xdr:col>
      <xdr:colOff>569910</xdr:colOff>
      <xdr:row>18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37" t="22907" r="29734" b="13257"/>
        <a:stretch/>
      </xdr:blipFill>
      <xdr:spPr>
        <a:xfrm>
          <a:off x="14608172" y="0"/>
          <a:ext cx="3194051" cy="3581400"/>
        </a:xfrm>
        <a:prstGeom prst="rect">
          <a:avLst/>
        </a:prstGeom>
      </xdr:spPr>
    </xdr:pic>
    <xdr:clientData/>
  </xdr:twoCellAnchor>
  <xdr:twoCellAnchor editAs="oneCell">
    <xdr:from>
      <xdr:col>37</xdr:col>
      <xdr:colOff>495300</xdr:colOff>
      <xdr:row>0</xdr:row>
      <xdr:rowOff>0</xdr:rowOff>
    </xdr:from>
    <xdr:to>
      <xdr:col>54</xdr:col>
      <xdr:colOff>190501</xdr:colOff>
      <xdr:row>35</xdr:row>
      <xdr:rowOff>111329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0" y="0"/>
          <a:ext cx="10058400" cy="7112204"/>
        </a:xfrm>
        <a:prstGeom prst="rect">
          <a:avLst/>
        </a:prstGeom>
      </xdr:spPr>
    </xdr:pic>
    <xdr:clientData/>
  </xdr:twoCellAnchor>
  <xdr:twoCellAnchor editAs="oneCell">
    <xdr:from>
      <xdr:col>54</xdr:col>
      <xdr:colOff>276225</xdr:colOff>
      <xdr:row>0</xdr:row>
      <xdr:rowOff>0</xdr:rowOff>
    </xdr:from>
    <xdr:to>
      <xdr:col>70</xdr:col>
      <xdr:colOff>581025</xdr:colOff>
      <xdr:row>35</xdr:row>
      <xdr:rowOff>111329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23625" y="0"/>
          <a:ext cx="10058400" cy="7112204"/>
        </a:xfrm>
        <a:prstGeom prst="rect">
          <a:avLst/>
        </a:prstGeom>
      </xdr:spPr>
    </xdr:pic>
    <xdr:clientData/>
  </xdr:twoCellAnchor>
  <xdr:twoCellAnchor editAs="oneCell">
    <xdr:from>
      <xdr:col>71</xdr:col>
      <xdr:colOff>95250</xdr:colOff>
      <xdr:row>0</xdr:row>
      <xdr:rowOff>9525</xdr:rowOff>
    </xdr:from>
    <xdr:to>
      <xdr:col>87</xdr:col>
      <xdr:colOff>400050</xdr:colOff>
      <xdr:row>35</xdr:row>
      <xdr:rowOff>120854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05850" y="9525"/>
          <a:ext cx="10058400" cy="71122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123826</xdr:colOff>
      <xdr:row>4</xdr:row>
      <xdr:rowOff>114298</xdr:rowOff>
    </xdr:from>
    <xdr:to>
      <xdr:col>13</xdr:col>
      <xdr:colOff>9525</xdr:colOff>
      <xdr:row>28</xdr:row>
      <xdr:rowOff>57147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A28C14-4CCD-4819-90B1-86F3BA4B36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37" t="22907" r="29734" b="13257"/>
        <a:stretch/>
      </xdr:blipFill>
      <xdr:spPr>
        <a:xfrm rot="5400000">
          <a:off x="2686051" y="142873"/>
          <a:ext cx="4514849" cy="5981699"/>
        </a:xfrm>
        <a:prstGeom prst="rect">
          <a:avLst/>
        </a:prstGeom>
      </xdr:spPr>
    </xdr:pic>
    <xdr:clientData/>
  </xdr:twoCellAnchor>
  <xdr:twoCellAnchor>
    <xdr:from>
      <xdr:col>1</xdr:col>
      <xdr:colOff>342900</xdr:colOff>
      <xdr:row>10</xdr:row>
      <xdr:rowOff>57150</xdr:rowOff>
    </xdr:from>
    <xdr:to>
      <xdr:col>4</xdr:col>
      <xdr:colOff>257175</xdr:colOff>
      <xdr:row>10</xdr:row>
      <xdr:rowOff>66675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A848437B-BFE3-BBAA-1D04-E6EF1D558D60}"/>
            </a:ext>
          </a:extLst>
        </xdr:cNvPr>
        <xdr:cNvCxnSpPr/>
      </xdr:nvCxnSpPr>
      <xdr:spPr>
        <a:xfrm flipH="1">
          <a:off x="952500" y="1962150"/>
          <a:ext cx="17430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400050</xdr:colOff>
      <xdr:row>15</xdr:row>
      <xdr:rowOff>161925</xdr:rowOff>
    </xdr:from>
    <xdr:to>
      <xdr:col>4</xdr:col>
      <xdr:colOff>314325</xdr:colOff>
      <xdr:row>15</xdr:row>
      <xdr:rowOff>171450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23AE90C7-DE12-167D-098C-3CA8F2C3415D}"/>
            </a:ext>
          </a:extLst>
        </xdr:cNvPr>
        <xdr:cNvCxnSpPr/>
      </xdr:nvCxnSpPr>
      <xdr:spPr>
        <a:xfrm flipH="1">
          <a:off x="1009650" y="3019425"/>
          <a:ext cx="17430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466725</xdr:colOff>
      <xdr:row>13</xdr:row>
      <xdr:rowOff>171450</xdr:rowOff>
    </xdr:from>
    <xdr:to>
      <xdr:col>3</xdr:col>
      <xdr:colOff>485775</xdr:colOff>
      <xdr:row>19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466A0621-2A6D-1D01-5C26-5D8E8B15AA71}"/>
            </a:ext>
          </a:extLst>
        </xdr:cNvPr>
        <xdr:cNvCxnSpPr/>
      </xdr:nvCxnSpPr>
      <xdr:spPr>
        <a:xfrm flipH="1">
          <a:off x="2295525" y="2647950"/>
          <a:ext cx="19050" cy="971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466725</xdr:colOff>
      <xdr:row>13</xdr:row>
      <xdr:rowOff>161925</xdr:rowOff>
    </xdr:from>
    <xdr:to>
      <xdr:col>4</xdr:col>
      <xdr:colOff>485775</xdr:colOff>
      <xdr:row>18</xdr:row>
      <xdr:rowOff>180975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BDDF43A3-4A08-E382-A80C-116982929CE3}"/>
            </a:ext>
          </a:extLst>
        </xdr:cNvPr>
        <xdr:cNvCxnSpPr/>
      </xdr:nvCxnSpPr>
      <xdr:spPr>
        <a:xfrm flipH="1">
          <a:off x="2905125" y="2638425"/>
          <a:ext cx="19050" cy="971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371475</xdr:colOff>
      <xdr:row>4</xdr:row>
      <xdr:rowOff>28575</xdr:rowOff>
    </xdr:from>
    <xdr:to>
      <xdr:col>11</xdr:col>
      <xdr:colOff>542925</xdr:colOff>
      <xdr:row>4</xdr:row>
      <xdr:rowOff>161925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457950" y="409575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12</xdr:col>
      <xdr:colOff>380999</xdr:colOff>
      <xdr:row>4</xdr:row>
      <xdr:rowOff>38100</xdr:rowOff>
    </xdr:from>
    <xdr:to>
      <xdr:col>12</xdr:col>
      <xdr:colOff>600074</xdr:colOff>
      <xdr:row>4</xdr:row>
      <xdr:rowOff>171449</xdr:rowOff>
    </xdr:to>
    <xdr:sp macro="" textlink="">
      <xdr:nvSpPr>
        <xdr:cNvPr id="3" name="Trapezoi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191374" y="419100"/>
          <a:ext cx="219075" cy="133349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257175</xdr:colOff>
      <xdr:row>4</xdr:row>
      <xdr:rowOff>0</xdr:rowOff>
    </xdr:from>
    <xdr:to>
      <xdr:col>1</xdr:col>
      <xdr:colOff>428625</xdr:colOff>
      <xdr:row>4</xdr:row>
      <xdr:rowOff>133350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57175" y="381000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209549</xdr:colOff>
      <xdr:row>7</xdr:row>
      <xdr:rowOff>38100</xdr:rowOff>
    </xdr:from>
    <xdr:to>
      <xdr:col>1</xdr:col>
      <xdr:colOff>428624</xdr:colOff>
      <xdr:row>7</xdr:row>
      <xdr:rowOff>171449</xdr:rowOff>
    </xdr:to>
    <xdr:sp macro="" textlink="">
      <xdr:nvSpPr>
        <xdr:cNvPr id="5" name="Trapezoi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9549" y="990600"/>
          <a:ext cx="219075" cy="133349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41</xdr:col>
      <xdr:colOff>264644</xdr:colOff>
      <xdr:row>18</xdr:row>
      <xdr:rowOff>40091</xdr:rowOff>
    </xdr:from>
    <xdr:to>
      <xdr:col>41</xdr:col>
      <xdr:colOff>436094</xdr:colOff>
      <xdr:row>18</xdr:row>
      <xdr:rowOff>173441</xdr:rowOff>
    </xdr:to>
    <xdr:sp macro="" textlink="">
      <xdr:nvSpPr>
        <xdr:cNvPr id="13" name="Isosceles Triangl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2934144" y="4688291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43</xdr:col>
      <xdr:colOff>153890</xdr:colOff>
      <xdr:row>18</xdr:row>
      <xdr:rowOff>49616</xdr:rowOff>
    </xdr:from>
    <xdr:to>
      <xdr:col>43</xdr:col>
      <xdr:colOff>391901</xdr:colOff>
      <xdr:row>19</xdr:row>
      <xdr:rowOff>13607</xdr:rowOff>
    </xdr:to>
    <xdr:sp macro="" textlink="">
      <xdr:nvSpPr>
        <xdr:cNvPr id="14" name="Trapezoi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3966390" y="4697816"/>
          <a:ext cx="238011" cy="154491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41</xdr:col>
      <xdr:colOff>264644</xdr:colOff>
      <xdr:row>46</xdr:row>
      <xdr:rowOff>40091</xdr:rowOff>
    </xdr:from>
    <xdr:to>
      <xdr:col>41</xdr:col>
      <xdr:colOff>436094</xdr:colOff>
      <xdr:row>46</xdr:row>
      <xdr:rowOff>173441</xdr:rowOff>
    </xdr:to>
    <xdr:sp macro="" textlink="">
      <xdr:nvSpPr>
        <xdr:cNvPr id="15" name="Isosceles Triangl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2055727" y="3088091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43</xdr:col>
      <xdr:colOff>296765</xdr:colOff>
      <xdr:row>46</xdr:row>
      <xdr:rowOff>137722</xdr:rowOff>
    </xdr:from>
    <xdr:to>
      <xdr:col>43</xdr:col>
      <xdr:colOff>534776</xdr:colOff>
      <xdr:row>47</xdr:row>
      <xdr:rowOff>101713</xdr:rowOff>
    </xdr:to>
    <xdr:sp macro="" textlink="">
      <xdr:nvSpPr>
        <xdr:cNvPr id="11" name="Trapezoid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3394890" y="8519722"/>
          <a:ext cx="238011" cy="154491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77</xdr:col>
      <xdr:colOff>334631</xdr:colOff>
      <xdr:row>14</xdr:row>
      <xdr:rowOff>136609</xdr:rowOff>
    </xdr:from>
    <xdr:to>
      <xdr:col>87</xdr:col>
      <xdr:colOff>44421</xdr:colOff>
      <xdr:row>20</xdr:row>
      <xdr:rowOff>171343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54" t="36845" r="4711" b="29469"/>
        <a:stretch/>
      </xdr:blipFill>
      <xdr:spPr>
        <a:xfrm>
          <a:off x="45197381" y="2422609"/>
          <a:ext cx="5424790" cy="1245769"/>
        </a:xfrm>
        <a:prstGeom prst="rect">
          <a:avLst/>
        </a:prstGeom>
      </xdr:spPr>
    </xdr:pic>
    <xdr:clientData/>
  </xdr:twoCellAnchor>
  <xdr:twoCellAnchor editAs="oneCell">
    <xdr:from>
      <xdr:col>77</xdr:col>
      <xdr:colOff>449931</xdr:colOff>
      <xdr:row>23</xdr:row>
      <xdr:rowOff>114056</xdr:rowOff>
    </xdr:from>
    <xdr:to>
      <xdr:col>87</xdr:col>
      <xdr:colOff>133358</xdr:colOff>
      <xdr:row>30</xdr:row>
      <xdr:rowOff>162026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0" t="48635" r="4947" b="14942"/>
        <a:stretch/>
      </xdr:blipFill>
      <xdr:spPr>
        <a:xfrm>
          <a:off x="46460694" y="4295030"/>
          <a:ext cx="5799480" cy="1401521"/>
        </a:xfrm>
        <a:prstGeom prst="rect">
          <a:avLst/>
        </a:prstGeom>
      </xdr:spPr>
    </xdr:pic>
    <xdr:clientData/>
  </xdr:twoCellAnchor>
  <xdr:twoCellAnchor editAs="oneCell">
    <xdr:from>
      <xdr:col>88</xdr:col>
      <xdr:colOff>476252</xdr:colOff>
      <xdr:row>39</xdr:row>
      <xdr:rowOff>158750</xdr:rowOff>
    </xdr:from>
    <xdr:to>
      <xdr:col>95</xdr:col>
      <xdr:colOff>375360</xdr:colOff>
      <xdr:row>66</xdr:row>
      <xdr:rowOff>123658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40" t="6142" r="3374" b="6056"/>
        <a:stretch/>
      </xdr:blipFill>
      <xdr:spPr>
        <a:xfrm rot="16200000">
          <a:off x="51021102" y="7811650"/>
          <a:ext cx="5108408" cy="3899608"/>
        </a:xfrm>
        <a:prstGeom prst="rect">
          <a:avLst/>
        </a:prstGeom>
      </xdr:spPr>
    </xdr:pic>
    <xdr:clientData/>
  </xdr:twoCellAnchor>
  <xdr:twoCellAnchor editAs="oneCell">
    <xdr:from>
      <xdr:col>88</xdr:col>
      <xdr:colOff>421821</xdr:colOff>
      <xdr:row>20</xdr:row>
      <xdr:rowOff>63499</xdr:rowOff>
    </xdr:from>
    <xdr:to>
      <xdr:col>97</xdr:col>
      <xdr:colOff>183697</xdr:colOff>
      <xdr:row>39</xdr:row>
      <xdr:rowOff>138698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7" b="45417"/>
        <a:stretch/>
      </xdr:blipFill>
      <xdr:spPr>
        <a:xfrm>
          <a:off x="53244750" y="4138838"/>
          <a:ext cx="5272768" cy="3715110"/>
        </a:xfrm>
        <a:prstGeom prst="rect">
          <a:avLst/>
        </a:prstGeom>
      </xdr:spPr>
    </xdr:pic>
    <xdr:clientData/>
  </xdr:twoCellAnchor>
  <xdr:twoCellAnchor editAs="oneCell">
    <xdr:from>
      <xdr:col>88</xdr:col>
      <xdr:colOff>476250</xdr:colOff>
      <xdr:row>66</xdr:row>
      <xdr:rowOff>120592</xdr:rowOff>
    </xdr:from>
    <xdr:to>
      <xdr:col>97</xdr:col>
      <xdr:colOff>152400</xdr:colOff>
      <xdr:row>90</xdr:row>
      <xdr:rowOff>19049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92" r="1897" b="45162"/>
        <a:stretch/>
      </xdr:blipFill>
      <xdr:spPr>
        <a:xfrm>
          <a:off x="53120925" y="13036492"/>
          <a:ext cx="5162550" cy="4689533"/>
        </a:xfrm>
        <a:prstGeom prst="rect">
          <a:avLst/>
        </a:prstGeom>
      </xdr:spPr>
    </xdr:pic>
    <xdr:clientData/>
  </xdr:twoCellAnchor>
  <xdr:twoCellAnchor editAs="oneCell">
    <xdr:from>
      <xdr:col>98</xdr:col>
      <xdr:colOff>0</xdr:colOff>
      <xdr:row>17</xdr:row>
      <xdr:rowOff>0</xdr:rowOff>
    </xdr:from>
    <xdr:to>
      <xdr:col>114</xdr:col>
      <xdr:colOff>152400</xdr:colOff>
      <xdr:row>54</xdr:row>
      <xdr:rowOff>63704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93063" y="3238500"/>
          <a:ext cx="10058400" cy="7112204"/>
        </a:xfrm>
        <a:prstGeom prst="rect">
          <a:avLst/>
        </a:prstGeom>
      </xdr:spPr>
    </xdr:pic>
    <xdr:clientData/>
  </xdr:twoCellAnchor>
  <xdr:twoCellAnchor editAs="oneCell">
    <xdr:from>
      <xdr:col>114</xdr:col>
      <xdr:colOff>309563</xdr:colOff>
      <xdr:row>16</xdr:row>
      <xdr:rowOff>166687</xdr:rowOff>
    </xdr:from>
    <xdr:to>
      <xdr:col>130</xdr:col>
      <xdr:colOff>461963</xdr:colOff>
      <xdr:row>54</xdr:row>
      <xdr:rowOff>39892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626" y="3214687"/>
          <a:ext cx="10058400" cy="7112204"/>
        </a:xfrm>
        <a:prstGeom prst="rect">
          <a:avLst/>
        </a:prstGeom>
      </xdr:spPr>
    </xdr:pic>
    <xdr:clientData/>
  </xdr:twoCellAnchor>
  <xdr:twoCellAnchor>
    <xdr:from>
      <xdr:col>89</xdr:col>
      <xdr:colOff>447675</xdr:colOff>
      <xdr:row>22</xdr:row>
      <xdr:rowOff>66675</xdr:rowOff>
    </xdr:from>
    <xdr:to>
      <xdr:col>90</xdr:col>
      <xdr:colOff>19050</xdr:colOff>
      <xdr:row>24</xdr:row>
      <xdr:rowOff>104775</xdr:rowOff>
    </xdr:to>
    <xdr:sp macro="" textlink="">
      <xdr:nvSpPr>
        <xdr:cNvPr id="12" name="Curved Right Arrow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3701950" y="4448175"/>
          <a:ext cx="180975" cy="41910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91</xdr:col>
      <xdr:colOff>533400</xdr:colOff>
      <xdr:row>22</xdr:row>
      <xdr:rowOff>76200</xdr:rowOff>
    </xdr:from>
    <xdr:to>
      <xdr:col>92</xdr:col>
      <xdr:colOff>57150</xdr:colOff>
      <xdr:row>24</xdr:row>
      <xdr:rowOff>123825</xdr:rowOff>
    </xdr:to>
    <xdr:sp macro="" textlink="">
      <xdr:nvSpPr>
        <xdr:cNvPr id="16" name="Curved Left Arrow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5006875" y="4457700"/>
          <a:ext cx="133350" cy="428625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90</xdr:col>
      <xdr:colOff>190500</xdr:colOff>
      <xdr:row>64</xdr:row>
      <xdr:rowOff>104775</xdr:rowOff>
    </xdr:from>
    <xdr:to>
      <xdr:col>91</xdr:col>
      <xdr:colOff>466725</xdr:colOff>
      <xdr:row>64</xdr:row>
      <xdr:rowOff>104775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54054375" y="12620625"/>
          <a:ext cx="885825" cy="0"/>
        </a:xfrm>
        <a:prstGeom prst="line">
          <a:avLst/>
        </a:prstGeom>
        <a:ln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447675</xdr:colOff>
      <xdr:row>62</xdr:row>
      <xdr:rowOff>57150</xdr:rowOff>
    </xdr:from>
    <xdr:to>
      <xdr:col>89</xdr:col>
      <xdr:colOff>457200</xdr:colOff>
      <xdr:row>65</xdr:row>
      <xdr:rowOff>161925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flipH="1" flipV="1">
          <a:off x="53701950" y="12172950"/>
          <a:ext cx="9525" cy="704850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504825</xdr:colOff>
      <xdr:row>60</xdr:row>
      <xdr:rowOff>171450</xdr:rowOff>
    </xdr:from>
    <xdr:to>
      <xdr:col>94</xdr:col>
      <xdr:colOff>514350</xdr:colOff>
      <xdr:row>64</xdr:row>
      <xdr:rowOff>76200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 flipH="1" flipV="1">
          <a:off x="56807100" y="11887200"/>
          <a:ext cx="9525" cy="704850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476250</xdr:colOff>
      <xdr:row>68</xdr:row>
      <xdr:rowOff>123825</xdr:rowOff>
    </xdr:from>
    <xdr:to>
      <xdr:col>90</xdr:col>
      <xdr:colOff>514350</xdr:colOff>
      <xdr:row>78</xdr:row>
      <xdr:rowOff>76200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54340125" y="13439775"/>
          <a:ext cx="38100" cy="1943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180975</xdr:colOff>
      <xdr:row>68</xdr:row>
      <xdr:rowOff>123825</xdr:rowOff>
    </xdr:from>
    <xdr:to>
      <xdr:col>92</xdr:col>
      <xdr:colOff>219075</xdr:colOff>
      <xdr:row>78</xdr:row>
      <xdr:rowOff>76200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>
          <a:off x="55264050" y="13439775"/>
          <a:ext cx="38100" cy="1943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91</xdr:col>
      <xdr:colOff>352425</xdr:colOff>
      <xdr:row>41</xdr:row>
      <xdr:rowOff>66675</xdr:rowOff>
    </xdr:from>
    <xdr:to>
      <xdr:col>91</xdr:col>
      <xdr:colOff>352425</xdr:colOff>
      <xdr:row>48</xdr:row>
      <xdr:rowOff>133350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54825900" y="8086725"/>
          <a:ext cx="0" cy="1419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7716</xdr:colOff>
      <xdr:row>0</xdr:row>
      <xdr:rowOff>1</xdr:rowOff>
    </xdr:from>
    <xdr:to>
      <xdr:col>21</xdr:col>
      <xdr:colOff>238129</xdr:colOff>
      <xdr:row>16</xdr:row>
      <xdr:rowOff>32660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69" t="22907" r="32627" b="13257"/>
        <a:stretch/>
      </xdr:blipFill>
      <xdr:spPr>
        <a:xfrm rot="5400000">
          <a:off x="8359325" y="-547912"/>
          <a:ext cx="3325588" cy="4421413"/>
        </a:xfrm>
        <a:prstGeom prst="rect">
          <a:avLst/>
        </a:prstGeom>
      </xdr:spPr>
    </xdr:pic>
    <xdr:clientData/>
  </xdr:twoCellAnchor>
  <xdr:twoCellAnchor>
    <xdr:from>
      <xdr:col>0</xdr:col>
      <xdr:colOff>115661</xdr:colOff>
      <xdr:row>2</xdr:row>
      <xdr:rowOff>183696</xdr:rowOff>
    </xdr:from>
    <xdr:to>
      <xdr:col>4</xdr:col>
      <xdr:colOff>415018</xdr:colOff>
      <xdr:row>6</xdr:row>
      <xdr:rowOff>6803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15661" y="578303"/>
          <a:ext cx="2517321" cy="61232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571500</xdr:colOff>
      <xdr:row>4</xdr:row>
      <xdr:rowOff>74840</xdr:rowOff>
    </xdr:from>
    <xdr:to>
      <xdr:col>16</xdr:col>
      <xdr:colOff>231321</xdr:colOff>
      <xdr:row>5</xdr:row>
      <xdr:rowOff>34018</xdr:rowOff>
    </xdr:to>
    <xdr:sp macro="" textlink="">
      <xdr:nvSpPr>
        <xdr:cNvPr id="19" name="Freeform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953500" y="864054"/>
          <a:ext cx="238125" cy="156482"/>
        </a:xfrm>
        <a:custGeom>
          <a:avLst/>
          <a:gdLst>
            <a:gd name="connsiteX0" fmla="*/ 0 w 238125"/>
            <a:gd name="connsiteY0" fmla="*/ 20410 h 156482"/>
            <a:gd name="connsiteX1" fmla="*/ 34018 w 238125"/>
            <a:gd name="connsiteY1" fmla="*/ 74839 h 156482"/>
            <a:gd name="connsiteX2" fmla="*/ 40821 w 238125"/>
            <a:gd name="connsiteY2" fmla="*/ 95250 h 156482"/>
            <a:gd name="connsiteX3" fmla="*/ 47625 w 238125"/>
            <a:gd name="connsiteY3" fmla="*/ 122464 h 156482"/>
            <a:gd name="connsiteX4" fmla="*/ 61232 w 238125"/>
            <a:gd name="connsiteY4" fmla="*/ 156482 h 156482"/>
            <a:gd name="connsiteX5" fmla="*/ 74839 w 238125"/>
            <a:gd name="connsiteY5" fmla="*/ 136071 h 156482"/>
            <a:gd name="connsiteX6" fmla="*/ 95250 w 238125"/>
            <a:gd name="connsiteY6" fmla="*/ 122464 h 156482"/>
            <a:gd name="connsiteX7" fmla="*/ 122464 w 238125"/>
            <a:gd name="connsiteY7" fmla="*/ 102053 h 156482"/>
            <a:gd name="connsiteX8" fmla="*/ 142875 w 238125"/>
            <a:gd name="connsiteY8" fmla="*/ 88446 h 156482"/>
            <a:gd name="connsiteX9" fmla="*/ 163286 w 238125"/>
            <a:gd name="connsiteY9" fmla="*/ 68035 h 156482"/>
            <a:gd name="connsiteX10" fmla="*/ 190500 w 238125"/>
            <a:gd name="connsiteY10" fmla="*/ 34017 h 156482"/>
            <a:gd name="connsiteX11" fmla="*/ 210911 w 238125"/>
            <a:gd name="connsiteY11" fmla="*/ 27214 h 156482"/>
            <a:gd name="connsiteX12" fmla="*/ 238125 w 238125"/>
            <a:gd name="connsiteY12" fmla="*/ 0 h 15648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238125" h="156482">
              <a:moveTo>
                <a:pt x="0" y="20410"/>
              </a:moveTo>
              <a:cubicBezTo>
                <a:pt x="11339" y="38553"/>
                <a:pt x="27253" y="54542"/>
                <a:pt x="34018" y="74839"/>
              </a:cubicBezTo>
              <a:cubicBezTo>
                <a:pt x="36286" y="81643"/>
                <a:pt x="38851" y="88354"/>
                <a:pt x="40821" y="95250"/>
              </a:cubicBezTo>
              <a:cubicBezTo>
                <a:pt x="43390" y="104241"/>
                <a:pt x="44668" y="113593"/>
                <a:pt x="47625" y="122464"/>
              </a:cubicBezTo>
              <a:cubicBezTo>
                <a:pt x="51487" y="134050"/>
                <a:pt x="56696" y="145143"/>
                <a:pt x="61232" y="156482"/>
              </a:cubicBezTo>
              <a:cubicBezTo>
                <a:pt x="65768" y="149678"/>
                <a:pt x="69057" y="141853"/>
                <a:pt x="74839" y="136071"/>
              </a:cubicBezTo>
              <a:cubicBezTo>
                <a:pt x="80621" y="130289"/>
                <a:pt x="88596" y="127217"/>
                <a:pt x="95250" y="122464"/>
              </a:cubicBezTo>
              <a:cubicBezTo>
                <a:pt x="104477" y="115873"/>
                <a:pt x="113237" y="108644"/>
                <a:pt x="122464" y="102053"/>
              </a:cubicBezTo>
              <a:cubicBezTo>
                <a:pt x="129118" y="97300"/>
                <a:pt x="136593" y="93681"/>
                <a:pt x="142875" y="88446"/>
              </a:cubicBezTo>
              <a:cubicBezTo>
                <a:pt x="150267" y="82286"/>
                <a:pt x="157126" y="75427"/>
                <a:pt x="163286" y="68035"/>
              </a:cubicBezTo>
              <a:cubicBezTo>
                <a:pt x="172554" y="56914"/>
                <a:pt x="177307" y="41933"/>
                <a:pt x="190500" y="34017"/>
              </a:cubicBezTo>
              <a:cubicBezTo>
                <a:pt x="196650" y="30327"/>
                <a:pt x="204107" y="29482"/>
                <a:pt x="210911" y="27214"/>
              </a:cubicBezTo>
              <a:lnTo>
                <a:pt x="238125" y="0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333375</xdr:colOff>
      <xdr:row>17</xdr:row>
      <xdr:rowOff>40821</xdr:rowOff>
    </xdr:from>
    <xdr:to>
      <xdr:col>8</xdr:col>
      <xdr:colOff>469447</xdr:colOff>
      <xdr:row>23</xdr:row>
      <xdr:rowOff>95250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354286" y="3394982"/>
          <a:ext cx="714375" cy="12178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408214</xdr:colOff>
      <xdr:row>17</xdr:row>
      <xdr:rowOff>108857</xdr:rowOff>
    </xdr:from>
    <xdr:to>
      <xdr:col>8</xdr:col>
      <xdr:colOff>394607</xdr:colOff>
      <xdr:row>23</xdr:row>
      <xdr:rowOff>27215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429125" y="3463018"/>
          <a:ext cx="564696" cy="1081768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408214</xdr:colOff>
      <xdr:row>22</xdr:row>
      <xdr:rowOff>95250</xdr:rowOff>
    </xdr:from>
    <xdr:to>
      <xdr:col>7</xdr:col>
      <xdr:colOff>476250</xdr:colOff>
      <xdr:row>23</xdr:row>
      <xdr:rowOff>6804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429125" y="4422321"/>
          <a:ext cx="68036" cy="10205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322495</xdr:colOff>
      <xdr:row>22</xdr:row>
      <xdr:rowOff>111570</xdr:rowOff>
    </xdr:from>
    <xdr:to>
      <xdr:col>8</xdr:col>
      <xdr:colOff>390531</xdr:colOff>
      <xdr:row>23</xdr:row>
      <xdr:rowOff>23124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4921709" y="4438641"/>
          <a:ext cx="68036" cy="10205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415011</xdr:colOff>
      <xdr:row>17</xdr:row>
      <xdr:rowOff>122459</xdr:rowOff>
    </xdr:from>
    <xdr:to>
      <xdr:col>7</xdr:col>
      <xdr:colOff>483047</xdr:colOff>
      <xdr:row>18</xdr:row>
      <xdr:rowOff>27210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4435922" y="3476620"/>
          <a:ext cx="68036" cy="10205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312956</xdr:colOff>
      <xdr:row>17</xdr:row>
      <xdr:rowOff>115660</xdr:rowOff>
    </xdr:from>
    <xdr:to>
      <xdr:col>8</xdr:col>
      <xdr:colOff>380992</xdr:colOff>
      <xdr:row>18</xdr:row>
      <xdr:rowOff>20411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4912170" y="3469821"/>
          <a:ext cx="68036" cy="10205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74835</xdr:colOff>
      <xdr:row>22</xdr:row>
      <xdr:rowOff>95262</xdr:rowOff>
    </xdr:from>
    <xdr:to>
      <xdr:col>8</xdr:col>
      <xdr:colOff>142871</xdr:colOff>
      <xdr:row>23</xdr:row>
      <xdr:rowOff>6816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4674049" y="4422333"/>
          <a:ext cx="68036" cy="102054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74839</xdr:colOff>
      <xdr:row>16</xdr:row>
      <xdr:rowOff>68036</xdr:rowOff>
    </xdr:from>
    <xdr:to>
      <xdr:col>7</xdr:col>
      <xdr:colOff>88446</xdr:colOff>
      <xdr:row>25</xdr:row>
      <xdr:rowOff>13608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>
          <a:off x="4095750" y="3224893"/>
          <a:ext cx="13607" cy="1687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537482</xdr:colOff>
      <xdr:row>17</xdr:row>
      <xdr:rowOff>20410</xdr:rowOff>
    </xdr:from>
    <xdr:to>
      <xdr:col>7</xdr:col>
      <xdr:colOff>210910</xdr:colOff>
      <xdr:row>17</xdr:row>
      <xdr:rowOff>27214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>
          <a:off x="3980089" y="3374571"/>
          <a:ext cx="251732" cy="68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557893</xdr:colOff>
      <xdr:row>23</xdr:row>
      <xdr:rowOff>95250</xdr:rowOff>
    </xdr:from>
    <xdr:to>
      <xdr:col>7</xdr:col>
      <xdr:colOff>231321</xdr:colOff>
      <xdr:row>23</xdr:row>
      <xdr:rowOff>102054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>
          <a:off x="4000500" y="4612821"/>
          <a:ext cx="251732" cy="68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557893</xdr:colOff>
      <xdr:row>4</xdr:row>
      <xdr:rowOff>142875</xdr:rowOff>
    </xdr:from>
    <xdr:to>
      <xdr:col>25</xdr:col>
      <xdr:colOff>6803</xdr:colOff>
      <xdr:row>4</xdr:row>
      <xdr:rowOff>142875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>
          <a:off x="12552589" y="932089"/>
          <a:ext cx="2177143" cy="0"/>
        </a:xfrm>
        <a:prstGeom prst="line">
          <a:avLst/>
        </a:prstGeom>
        <a:ln w="571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564697</xdr:colOff>
      <xdr:row>3</xdr:row>
      <xdr:rowOff>95250</xdr:rowOff>
    </xdr:from>
    <xdr:to>
      <xdr:col>21</xdr:col>
      <xdr:colOff>571500</xdr:colOff>
      <xdr:row>5</xdr:row>
      <xdr:rowOff>170089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 flipH="1">
          <a:off x="12559393" y="687161"/>
          <a:ext cx="6803" cy="4694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2722</xdr:colOff>
      <xdr:row>3</xdr:row>
      <xdr:rowOff>131989</xdr:rowOff>
    </xdr:from>
    <xdr:to>
      <xdr:col>25</xdr:col>
      <xdr:colOff>9525</xdr:colOff>
      <xdr:row>6</xdr:row>
      <xdr:rowOff>9525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 flipH="1">
          <a:off x="14725651" y="723900"/>
          <a:ext cx="6803" cy="4694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333375</xdr:colOff>
      <xdr:row>7</xdr:row>
      <xdr:rowOff>61232</xdr:rowOff>
    </xdr:from>
    <xdr:to>
      <xdr:col>25</xdr:col>
      <xdr:colOff>231321</xdr:colOff>
      <xdr:row>7</xdr:row>
      <xdr:rowOff>68036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12328071" y="1442357"/>
          <a:ext cx="2626179" cy="68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557893</xdr:colOff>
      <xdr:row>6</xdr:row>
      <xdr:rowOff>142875</xdr:rowOff>
    </xdr:from>
    <xdr:to>
      <xdr:col>21</xdr:col>
      <xdr:colOff>564696</xdr:colOff>
      <xdr:row>9</xdr:row>
      <xdr:rowOff>20410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>
          <a:off x="12552589" y="1326696"/>
          <a:ext cx="6803" cy="4694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850446</xdr:colOff>
      <xdr:row>6</xdr:row>
      <xdr:rowOff>102054</xdr:rowOff>
    </xdr:from>
    <xdr:to>
      <xdr:col>25</xdr:col>
      <xdr:colOff>6802</xdr:colOff>
      <xdr:row>8</xdr:row>
      <xdr:rowOff>176892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14722928" y="1285875"/>
          <a:ext cx="6803" cy="4694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578305</xdr:colOff>
      <xdr:row>3</xdr:row>
      <xdr:rowOff>95250</xdr:rowOff>
    </xdr:from>
    <xdr:to>
      <xdr:col>24</xdr:col>
      <xdr:colOff>129269</xdr:colOff>
      <xdr:row>4</xdr:row>
      <xdr:rowOff>102054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12573001" y="687161"/>
          <a:ext cx="1428750" cy="204107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454383</xdr:colOff>
      <xdr:row>3</xdr:row>
      <xdr:rowOff>163285</xdr:rowOff>
    </xdr:from>
    <xdr:to>
      <xdr:col>21</xdr:col>
      <xdr:colOff>551090</xdr:colOff>
      <xdr:row>5</xdr:row>
      <xdr:rowOff>158038</xdr:rowOff>
    </xdr:to>
    <xdr:sp macro="" textlink="">
      <xdr:nvSpPr>
        <xdr:cNvPr id="53" name="Freeform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12449079" y="755196"/>
          <a:ext cx="96707" cy="389360"/>
        </a:xfrm>
        <a:custGeom>
          <a:avLst/>
          <a:gdLst>
            <a:gd name="connsiteX0" fmla="*/ 83100 w 96707"/>
            <a:gd name="connsiteY0" fmla="*/ 0 h 389360"/>
            <a:gd name="connsiteX1" fmla="*/ 69492 w 96707"/>
            <a:gd name="connsiteY1" fmla="*/ 54429 h 389360"/>
            <a:gd name="connsiteX2" fmla="*/ 42278 w 96707"/>
            <a:gd name="connsiteY2" fmla="*/ 95250 h 389360"/>
            <a:gd name="connsiteX3" fmla="*/ 35475 w 96707"/>
            <a:gd name="connsiteY3" fmla="*/ 115661 h 389360"/>
            <a:gd name="connsiteX4" fmla="*/ 55885 w 96707"/>
            <a:gd name="connsiteY4" fmla="*/ 102054 h 389360"/>
            <a:gd name="connsiteX5" fmla="*/ 96707 w 96707"/>
            <a:gd name="connsiteY5" fmla="*/ 81643 h 389360"/>
            <a:gd name="connsiteX6" fmla="*/ 89903 w 96707"/>
            <a:gd name="connsiteY6" fmla="*/ 102054 h 389360"/>
            <a:gd name="connsiteX7" fmla="*/ 69492 w 96707"/>
            <a:gd name="connsiteY7" fmla="*/ 129268 h 389360"/>
            <a:gd name="connsiteX8" fmla="*/ 55885 w 96707"/>
            <a:gd name="connsiteY8" fmla="*/ 149679 h 389360"/>
            <a:gd name="connsiteX9" fmla="*/ 21867 w 96707"/>
            <a:gd name="connsiteY9" fmla="*/ 190500 h 389360"/>
            <a:gd name="connsiteX10" fmla="*/ 15064 w 96707"/>
            <a:gd name="connsiteY10" fmla="*/ 210911 h 389360"/>
            <a:gd name="connsiteX11" fmla="*/ 76296 w 96707"/>
            <a:gd name="connsiteY11" fmla="*/ 190500 h 389360"/>
            <a:gd name="connsiteX12" fmla="*/ 96707 w 96707"/>
            <a:gd name="connsiteY12" fmla="*/ 183697 h 389360"/>
            <a:gd name="connsiteX13" fmla="*/ 62689 w 96707"/>
            <a:gd name="connsiteY13" fmla="*/ 224518 h 389360"/>
            <a:gd name="connsiteX14" fmla="*/ 42278 w 96707"/>
            <a:gd name="connsiteY14" fmla="*/ 265340 h 389360"/>
            <a:gd name="connsiteX15" fmla="*/ 21867 w 96707"/>
            <a:gd name="connsiteY15" fmla="*/ 278947 h 389360"/>
            <a:gd name="connsiteX16" fmla="*/ 35475 w 96707"/>
            <a:gd name="connsiteY16" fmla="*/ 285750 h 389360"/>
            <a:gd name="connsiteX17" fmla="*/ 55885 w 96707"/>
            <a:gd name="connsiteY17" fmla="*/ 278947 h 389360"/>
            <a:gd name="connsiteX18" fmla="*/ 35475 w 96707"/>
            <a:gd name="connsiteY18" fmla="*/ 333375 h 389360"/>
            <a:gd name="connsiteX19" fmla="*/ 21867 w 96707"/>
            <a:gd name="connsiteY19" fmla="*/ 346983 h 389360"/>
            <a:gd name="connsiteX20" fmla="*/ 8260 w 96707"/>
            <a:gd name="connsiteY20" fmla="*/ 367393 h 389360"/>
            <a:gd name="connsiteX21" fmla="*/ 1457 w 96707"/>
            <a:gd name="connsiteY21" fmla="*/ 387804 h 389360"/>
            <a:gd name="connsiteX22" fmla="*/ 21867 w 96707"/>
            <a:gd name="connsiteY22" fmla="*/ 381000 h 389360"/>
            <a:gd name="connsiteX23" fmla="*/ 42278 w 96707"/>
            <a:gd name="connsiteY23" fmla="*/ 367393 h 389360"/>
            <a:gd name="connsiteX24" fmla="*/ 83100 w 96707"/>
            <a:gd name="connsiteY24" fmla="*/ 353786 h 389360"/>
            <a:gd name="connsiteX25" fmla="*/ 96707 w 96707"/>
            <a:gd name="connsiteY25" fmla="*/ 346983 h 3893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</a:cxnLst>
          <a:rect l="l" t="t" r="r" b="b"/>
          <a:pathLst>
            <a:path w="96707" h="389360">
              <a:moveTo>
                <a:pt x="83100" y="0"/>
              </a:moveTo>
              <a:cubicBezTo>
                <a:pt x="81215" y="9426"/>
                <a:pt x="76030" y="42660"/>
                <a:pt x="69492" y="54429"/>
              </a:cubicBezTo>
              <a:cubicBezTo>
                <a:pt x="61550" y="68725"/>
                <a:pt x="42278" y="95250"/>
                <a:pt x="42278" y="95250"/>
              </a:cubicBezTo>
              <a:cubicBezTo>
                <a:pt x="40010" y="102054"/>
                <a:pt x="29061" y="112454"/>
                <a:pt x="35475" y="115661"/>
              </a:cubicBezTo>
              <a:cubicBezTo>
                <a:pt x="42788" y="119318"/>
                <a:pt x="48572" y="105711"/>
                <a:pt x="55885" y="102054"/>
              </a:cubicBezTo>
              <a:cubicBezTo>
                <a:pt x="112226" y="73883"/>
                <a:pt x="38208" y="120642"/>
                <a:pt x="96707" y="81643"/>
              </a:cubicBezTo>
              <a:cubicBezTo>
                <a:pt x="94439" y="88447"/>
                <a:pt x="93461" y="95827"/>
                <a:pt x="89903" y="102054"/>
              </a:cubicBezTo>
              <a:cubicBezTo>
                <a:pt x="84277" y="111899"/>
                <a:pt x="76083" y="120041"/>
                <a:pt x="69492" y="129268"/>
              </a:cubicBezTo>
              <a:cubicBezTo>
                <a:pt x="64739" y="135922"/>
                <a:pt x="61120" y="143397"/>
                <a:pt x="55885" y="149679"/>
              </a:cubicBezTo>
              <a:cubicBezTo>
                <a:pt x="12221" y="202078"/>
                <a:pt x="55661" y="139814"/>
                <a:pt x="21867" y="190500"/>
              </a:cubicBezTo>
              <a:cubicBezTo>
                <a:pt x="19599" y="197304"/>
                <a:pt x="8032" y="209504"/>
                <a:pt x="15064" y="210911"/>
              </a:cubicBezTo>
              <a:cubicBezTo>
                <a:pt x="15066" y="210911"/>
                <a:pt x="66090" y="193902"/>
                <a:pt x="76296" y="190500"/>
              </a:cubicBezTo>
              <a:lnTo>
                <a:pt x="96707" y="183697"/>
              </a:lnTo>
              <a:cubicBezTo>
                <a:pt x="67515" y="242081"/>
                <a:pt x="101156" y="186051"/>
                <a:pt x="62689" y="224518"/>
              </a:cubicBezTo>
              <a:cubicBezTo>
                <a:pt x="5336" y="281871"/>
                <a:pt x="86548" y="210004"/>
                <a:pt x="42278" y="265340"/>
              </a:cubicBezTo>
              <a:cubicBezTo>
                <a:pt x="37170" y="271725"/>
                <a:pt x="28671" y="274411"/>
                <a:pt x="21867" y="278947"/>
              </a:cubicBezTo>
              <a:cubicBezTo>
                <a:pt x="10936" y="311743"/>
                <a:pt x="10855" y="298060"/>
                <a:pt x="35475" y="285750"/>
              </a:cubicBezTo>
              <a:cubicBezTo>
                <a:pt x="41889" y="282543"/>
                <a:pt x="49082" y="281215"/>
                <a:pt x="55885" y="278947"/>
              </a:cubicBezTo>
              <a:cubicBezTo>
                <a:pt x="49902" y="302880"/>
                <a:pt x="49706" y="312028"/>
                <a:pt x="35475" y="333375"/>
              </a:cubicBezTo>
              <a:cubicBezTo>
                <a:pt x="31917" y="338712"/>
                <a:pt x="25874" y="341974"/>
                <a:pt x="21867" y="346983"/>
              </a:cubicBezTo>
              <a:cubicBezTo>
                <a:pt x="16759" y="353368"/>
                <a:pt x="12796" y="360590"/>
                <a:pt x="8260" y="367393"/>
              </a:cubicBezTo>
              <a:cubicBezTo>
                <a:pt x="5992" y="374197"/>
                <a:pt x="-3614" y="382733"/>
                <a:pt x="1457" y="387804"/>
              </a:cubicBezTo>
              <a:cubicBezTo>
                <a:pt x="6528" y="392875"/>
                <a:pt x="15453" y="384207"/>
                <a:pt x="21867" y="381000"/>
              </a:cubicBezTo>
              <a:cubicBezTo>
                <a:pt x="29181" y="377343"/>
                <a:pt x="34806" y="370714"/>
                <a:pt x="42278" y="367393"/>
              </a:cubicBezTo>
              <a:cubicBezTo>
                <a:pt x="55385" y="361568"/>
                <a:pt x="70271" y="360200"/>
                <a:pt x="83100" y="353786"/>
              </a:cubicBezTo>
              <a:lnTo>
                <a:pt x="96707" y="346983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13607</xdr:colOff>
      <xdr:row>4</xdr:row>
      <xdr:rowOff>6804</xdr:rowOff>
    </xdr:from>
    <xdr:to>
      <xdr:col>25</xdr:col>
      <xdr:colOff>131506</xdr:colOff>
      <xdr:row>5</xdr:row>
      <xdr:rowOff>171676</xdr:rowOff>
    </xdr:to>
    <xdr:sp macro="" textlink="">
      <xdr:nvSpPr>
        <xdr:cNvPr id="54" name="Freeform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14736536" y="796018"/>
          <a:ext cx="117899" cy="362176"/>
        </a:xfrm>
        <a:custGeom>
          <a:avLst/>
          <a:gdLst>
            <a:gd name="connsiteX0" fmla="*/ 6803 w 117899"/>
            <a:gd name="connsiteY0" fmla="*/ 0 h 362176"/>
            <a:gd name="connsiteX1" fmla="*/ 34018 w 117899"/>
            <a:gd name="connsiteY1" fmla="*/ 34018 h 362176"/>
            <a:gd name="connsiteX2" fmla="*/ 47625 w 117899"/>
            <a:gd name="connsiteY2" fmla="*/ 54428 h 362176"/>
            <a:gd name="connsiteX3" fmla="*/ 68035 w 117899"/>
            <a:gd name="connsiteY3" fmla="*/ 74839 h 362176"/>
            <a:gd name="connsiteX4" fmla="*/ 102053 w 117899"/>
            <a:gd name="connsiteY4" fmla="*/ 108857 h 362176"/>
            <a:gd name="connsiteX5" fmla="*/ 108857 w 117899"/>
            <a:gd name="connsiteY5" fmla="*/ 129268 h 362176"/>
            <a:gd name="connsiteX6" fmla="*/ 88446 w 117899"/>
            <a:gd name="connsiteY6" fmla="*/ 122464 h 362176"/>
            <a:gd name="connsiteX7" fmla="*/ 47625 w 117899"/>
            <a:gd name="connsiteY7" fmla="*/ 81643 h 362176"/>
            <a:gd name="connsiteX8" fmla="*/ 27214 w 117899"/>
            <a:gd name="connsiteY8" fmla="*/ 68036 h 362176"/>
            <a:gd name="connsiteX9" fmla="*/ 68035 w 117899"/>
            <a:gd name="connsiteY9" fmla="*/ 102053 h 362176"/>
            <a:gd name="connsiteX10" fmla="*/ 95250 w 117899"/>
            <a:gd name="connsiteY10" fmla="*/ 142875 h 362176"/>
            <a:gd name="connsiteX11" fmla="*/ 108857 w 117899"/>
            <a:gd name="connsiteY11" fmla="*/ 163286 h 362176"/>
            <a:gd name="connsiteX12" fmla="*/ 115660 w 117899"/>
            <a:gd name="connsiteY12" fmla="*/ 183696 h 362176"/>
            <a:gd name="connsiteX13" fmla="*/ 54428 w 117899"/>
            <a:gd name="connsiteY13" fmla="*/ 136071 h 362176"/>
            <a:gd name="connsiteX14" fmla="*/ 61232 w 117899"/>
            <a:gd name="connsiteY14" fmla="*/ 136071 h 362176"/>
            <a:gd name="connsiteX15" fmla="*/ 81643 w 117899"/>
            <a:gd name="connsiteY15" fmla="*/ 156482 h 362176"/>
            <a:gd name="connsiteX16" fmla="*/ 88446 w 117899"/>
            <a:gd name="connsiteY16" fmla="*/ 176893 h 362176"/>
            <a:gd name="connsiteX17" fmla="*/ 81643 w 117899"/>
            <a:gd name="connsiteY17" fmla="*/ 190500 h 362176"/>
            <a:gd name="connsiteX18" fmla="*/ 47625 w 117899"/>
            <a:gd name="connsiteY18" fmla="*/ 163286 h 362176"/>
            <a:gd name="connsiteX19" fmla="*/ 61232 w 117899"/>
            <a:gd name="connsiteY19" fmla="*/ 183696 h 362176"/>
            <a:gd name="connsiteX20" fmla="*/ 81643 w 117899"/>
            <a:gd name="connsiteY20" fmla="*/ 244928 h 362176"/>
            <a:gd name="connsiteX21" fmla="*/ 88446 w 117899"/>
            <a:gd name="connsiteY21" fmla="*/ 265339 h 362176"/>
            <a:gd name="connsiteX22" fmla="*/ 68035 w 117899"/>
            <a:gd name="connsiteY22" fmla="*/ 251732 h 362176"/>
            <a:gd name="connsiteX23" fmla="*/ 27214 w 117899"/>
            <a:gd name="connsiteY23" fmla="*/ 224518 h 362176"/>
            <a:gd name="connsiteX24" fmla="*/ 20410 w 117899"/>
            <a:gd name="connsiteY24" fmla="*/ 204107 h 362176"/>
            <a:gd name="connsiteX25" fmla="*/ 47625 w 117899"/>
            <a:gd name="connsiteY25" fmla="*/ 244928 h 362176"/>
            <a:gd name="connsiteX26" fmla="*/ 81643 w 117899"/>
            <a:gd name="connsiteY26" fmla="*/ 278946 h 362176"/>
            <a:gd name="connsiteX27" fmla="*/ 74839 w 117899"/>
            <a:gd name="connsiteY27" fmla="*/ 312964 h 362176"/>
            <a:gd name="connsiteX28" fmla="*/ 20410 w 117899"/>
            <a:gd name="connsiteY28" fmla="*/ 272143 h 362176"/>
            <a:gd name="connsiteX29" fmla="*/ 0 w 117899"/>
            <a:gd name="connsiteY29" fmla="*/ 251732 h 362176"/>
            <a:gd name="connsiteX30" fmla="*/ 40821 w 117899"/>
            <a:gd name="connsiteY30" fmla="*/ 312964 h 362176"/>
            <a:gd name="connsiteX31" fmla="*/ 61232 w 117899"/>
            <a:gd name="connsiteY31" fmla="*/ 340178 h 362176"/>
            <a:gd name="connsiteX32" fmla="*/ 68035 w 117899"/>
            <a:gd name="connsiteY32" fmla="*/ 360589 h 362176"/>
            <a:gd name="connsiteX33" fmla="*/ 47625 w 117899"/>
            <a:gd name="connsiteY33" fmla="*/ 353786 h 362176"/>
            <a:gd name="connsiteX34" fmla="*/ 6803 w 117899"/>
            <a:gd name="connsiteY34" fmla="*/ 326571 h 3621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</a:cxnLst>
          <a:rect l="l" t="t" r="r" b="b"/>
          <a:pathLst>
            <a:path w="117899" h="362176">
              <a:moveTo>
                <a:pt x="6803" y="0"/>
              </a:moveTo>
              <a:cubicBezTo>
                <a:pt x="15875" y="11339"/>
                <a:pt x="25305" y="22401"/>
                <a:pt x="34018" y="34018"/>
              </a:cubicBezTo>
              <a:cubicBezTo>
                <a:pt x="38924" y="40559"/>
                <a:pt x="42390" y="48146"/>
                <a:pt x="47625" y="54428"/>
              </a:cubicBezTo>
              <a:cubicBezTo>
                <a:pt x="53785" y="61820"/>
                <a:pt x="61875" y="67447"/>
                <a:pt x="68035" y="74839"/>
              </a:cubicBezTo>
              <a:cubicBezTo>
                <a:pt x="96382" y="108855"/>
                <a:pt x="64637" y="83912"/>
                <a:pt x="102053" y="108857"/>
              </a:cubicBezTo>
              <a:cubicBezTo>
                <a:pt x="104321" y="115661"/>
                <a:pt x="113928" y="124197"/>
                <a:pt x="108857" y="129268"/>
              </a:cubicBezTo>
              <a:cubicBezTo>
                <a:pt x="103786" y="134339"/>
                <a:pt x="94107" y="126867"/>
                <a:pt x="88446" y="122464"/>
              </a:cubicBezTo>
              <a:cubicBezTo>
                <a:pt x="73256" y="110650"/>
                <a:pt x="63636" y="92317"/>
                <a:pt x="47625" y="81643"/>
              </a:cubicBezTo>
              <a:cubicBezTo>
                <a:pt x="40821" y="77107"/>
                <a:pt x="27214" y="59859"/>
                <a:pt x="27214" y="68036"/>
              </a:cubicBezTo>
              <a:cubicBezTo>
                <a:pt x="27214" y="76765"/>
                <a:pt x="61879" y="97949"/>
                <a:pt x="68035" y="102053"/>
              </a:cubicBezTo>
              <a:lnTo>
                <a:pt x="95250" y="142875"/>
              </a:lnTo>
              <a:lnTo>
                <a:pt x="108857" y="163286"/>
              </a:lnTo>
              <a:cubicBezTo>
                <a:pt x="111125" y="170089"/>
                <a:pt x="122692" y="185102"/>
                <a:pt x="115660" y="183696"/>
              </a:cubicBezTo>
              <a:cubicBezTo>
                <a:pt x="95315" y="179627"/>
                <a:pt x="69645" y="151288"/>
                <a:pt x="54428" y="136071"/>
              </a:cubicBezTo>
              <a:cubicBezTo>
                <a:pt x="42469" y="100193"/>
                <a:pt x="46577" y="118486"/>
                <a:pt x="61232" y="136071"/>
              </a:cubicBezTo>
              <a:cubicBezTo>
                <a:pt x="67392" y="143463"/>
                <a:pt x="74839" y="149678"/>
                <a:pt x="81643" y="156482"/>
              </a:cubicBezTo>
              <a:cubicBezTo>
                <a:pt x="83911" y="163286"/>
                <a:pt x="85239" y="170478"/>
                <a:pt x="88446" y="176893"/>
              </a:cubicBezTo>
              <a:cubicBezTo>
                <a:pt x="100755" y="201511"/>
                <a:pt x="114438" y="201431"/>
                <a:pt x="81643" y="190500"/>
              </a:cubicBezTo>
              <a:cubicBezTo>
                <a:pt x="79086" y="187943"/>
                <a:pt x="51915" y="158996"/>
                <a:pt x="47625" y="163286"/>
              </a:cubicBezTo>
              <a:cubicBezTo>
                <a:pt x="41843" y="169068"/>
                <a:pt x="57575" y="176383"/>
                <a:pt x="61232" y="183696"/>
              </a:cubicBezTo>
              <a:cubicBezTo>
                <a:pt x="76867" y="214966"/>
                <a:pt x="72983" y="214617"/>
                <a:pt x="81643" y="244928"/>
              </a:cubicBezTo>
              <a:cubicBezTo>
                <a:pt x="83613" y="251824"/>
                <a:pt x="94860" y="262132"/>
                <a:pt x="88446" y="265339"/>
              </a:cubicBezTo>
              <a:cubicBezTo>
                <a:pt x="81132" y="268996"/>
                <a:pt x="74317" y="256967"/>
                <a:pt x="68035" y="251732"/>
              </a:cubicBezTo>
              <a:cubicBezTo>
                <a:pt x="34059" y="223418"/>
                <a:pt x="63085" y="236474"/>
                <a:pt x="27214" y="224518"/>
              </a:cubicBezTo>
              <a:cubicBezTo>
                <a:pt x="24946" y="217714"/>
                <a:pt x="13996" y="207314"/>
                <a:pt x="20410" y="204107"/>
              </a:cubicBezTo>
              <a:cubicBezTo>
                <a:pt x="41761" y="193431"/>
                <a:pt x="46660" y="243481"/>
                <a:pt x="47625" y="244928"/>
              </a:cubicBezTo>
              <a:cubicBezTo>
                <a:pt x="56520" y="258271"/>
                <a:pt x="81643" y="278946"/>
                <a:pt x="81643" y="278946"/>
              </a:cubicBezTo>
              <a:cubicBezTo>
                <a:pt x="97518" y="326572"/>
                <a:pt x="108857" y="324304"/>
                <a:pt x="74839" y="312964"/>
              </a:cubicBezTo>
              <a:cubicBezTo>
                <a:pt x="56696" y="299357"/>
                <a:pt x="36446" y="288180"/>
                <a:pt x="20410" y="272143"/>
              </a:cubicBezTo>
              <a:cubicBezTo>
                <a:pt x="13607" y="265339"/>
                <a:pt x="0" y="242110"/>
                <a:pt x="0" y="251732"/>
              </a:cubicBezTo>
              <a:cubicBezTo>
                <a:pt x="0" y="280540"/>
                <a:pt x="25283" y="294837"/>
                <a:pt x="40821" y="312964"/>
              </a:cubicBezTo>
              <a:cubicBezTo>
                <a:pt x="48201" y="321573"/>
                <a:pt x="54428" y="331107"/>
                <a:pt x="61232" y="340178"/>
              </a:cubicBezTo>
              <a:cubicBezTo>
                <a:pt x="63500" y="346982"/>
                <a:pt x="73106" y="355518"/>
                <a:pt x="68035" y="360589"/>
              </a:cubicBezTo>
              <a:cubicBezTo>
                <a:pt x="62964" y="365660"/>
                <a:pt x="53894" y="357269"/>
                <a:pt x="47625" y="353786"/>
              </a:cubicBezTo>
              <a:cubicBezTo>
                <a:pt x="33329" y="345844"/>
                <a:pt x="6803" y="326571"/>
                <a:pt x="6803" y="326571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34018</xdr:colOff>
      <xdr:row>2</xdr:row>
      <xdr:rowOff>54429</xdr:rowOff>
    </xdr:from>
    <xdr:to>
      <xdr:col>23</xdr:col>
      <xdr:colOff>54428</xdr:colOff>
      <xdr:row>4</xdr:row>
      <xdr:rowOff>27215</xdr:rowOff>
    </xdr:to>
    <xdr:sp macro="" textlink="">
      <xdr:nvSpPr>
        <xdr:cNvPr id="55" name="Freeform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12749893" y="449036"/>
          <a:ext cx="598714" cy="367393"/>
        </a:xfrm>
        <a:custGeom>
          <a:avLst/>
          <a:gdLst>
            <a:gd name="connsiteX0" fmla="*/ 0 w 598714"/>
            <a:gd name="connsiteY0" fmla="*/ 367393 h 367393"/>
            <a:gd name="connsiteX1" fmla="*/ 74839 w 598714"/>
            <a:gd name="connsiteY1" fmla="*/ 299357 h 367393"/>
            <a:gd name="connsiteX2" fmla="*/ 129268 w 598714"/>
            <a:gd name="connsiteY2" fmla="*/ 238125 h 367393"/>
            <a:gd name="connsiteX3" fmla="*/ 170089 w 598714"/>
            <a:gd name="connsiteY3" fmla="*/ 197303 h 367393"/>
            <a:gd name="connsiteX4" fmla="*/ 190500 w 598714"/>
            <a:gd name="connsiteY4" fmla="*/ 183696 h 367393"/>
            <a:gd name="connsiteX5" fmla="*/ 204107 w 598714"/>
            <a:gd name="connsiteY5" fmla="*/ 163285 h 367393"/>
            <a:gd name="connsiteX6" fmla="*/ 244928 w 598714"/>
            <a:gd name="connsiteY6" fmla="*/ 129268 h 367393"/>
            <a:gd name="connsiteX7" fmla="*/ 258536 w 598714"/>
            <a:gd name="connsiteY7" fmla="*/ 108857 h 367393"/>
            <a:gd name="connsiteX8" fmla="*/ 306161 w 598714"/>
            <a:gd name="connsiteY8" fmla="*/ 68035 h 367393"/>
            <a:gd name="connsiteX9" fmla="*/ 326571 w 598714"/>
            <a:gd name="connsiteY9" fmla="*/ 47625 h 367393"/>
            <a:gd name="connsiteX10" fmla="*/ 346982 w 598714"/>
            <a:gd name="connsiteY10" fmla="*/ 34018 h 367393"/>
            <a:gd name="connsiteX11" fmla="*/ 360589 w 598714"/>
            <a:gd name="connsiteY11" fmla="*/ 20410 h 367393"/>
            <a:gd name="connsiteX12" fmla="*/ 401411 w 598714"/>
            <a:gd name="connsiteY12" fmla="*/ 0 h 367393"/>
            <a:gd name="connsiteX13" fmla="*/ 537482 w 598714"/>
            <a:gd name="connsiteY13" fmla="*/ 6803 h 367393"/>
            <a:gd name="connsiteX14" fmla="*/ 557893 w 598714"/>
            <a:gd name="connsiteY14" fmla="*/ 13607 h 367393"/>
            <a:gd name="connsiteX15" fmla="*/ 598714 w 598714"/>
            <a:gd name="connsiteY15" fmla="*/ 20410 h 36739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598714" h="367393">
              <a:moveTo>
                <a:pt x="0" y="367393"/>
              </a:moveTo>
              <a:cubicBezTo>
                <a:pt x="60210" y="307182"/>
                <a:pt x="33079" y="327196"/>
                <a:pt x="74839" y="299357"/>
              </a:cubicBezTo>
              <a:cubicBezTo>
                <a:pt x="99121" y="262933"/>
                <a:pt x="82662" y="284731"/>
                <a:pt x="129268" y="238125"/>
              </a:cubicBezTo>
              <a:lnTo>
                <a:pt x="170089" y="197303"/>
              </a:lnTo>
              <a:lnTo>
                <a:pt x="190500" y="183696"/>
              </a:lnTo>
              <a:cubicBezTo>
                <a:pt x="195036" y="176892"/>
                <a:pt x="198325" y="169067"/>
                <a:pt x="204107" y="163285"/>
              </a:cubicBezTo>
              <a:cubicBezTo>
                <a:pt x="257631" y="109761"/>
                <a:pt x="189193" y="196149"/>
                <a:pt x="244928" y="129268"/>
              </a:cubicBezTo>
              <a:cubicBezTo>
                <a:pt x="250163" y="122986"/>
                <a:pt x="253301" y="115139"/>
                <a:pt x="258536" y="108857"/>
              </a:cubicBezTo>
              <a:cubicBezTo>
                <a:pt x="279642" y="83530"/>
                <a:pt x="279878" y="90563"/>
                <a:pt x="306161" y="68035"/>
              </a:cubicBezTo>
              <a:cubicBezTo>
                <a:pt x="313466" y="61774"/>
                <a:pt x="319180" y="53784"/>
                <a:pt x="326571" y="47625"/>
              </a:cubicBezTo>
              <a:cubicBezTo>
                <a:pt x="332853" y="42390"/>
                <a:pt x="340597" y="39126"/>
                <a:pt x="346982" y="34018"/>
              </a:cubicBezTo>
              <a:cubicBezTo>
                <a:pt x="351991" y="30011"/>
                <a:pt x="355580" y="24417"/>
                <a:pt x="360589" y="20410"/>
              </a:cubicBezTo>
              <a:cubicBezTo>
                <a:pt x="379429" y="5337"/>
                <a:pt x="379854" y="7185"/>
                <a:pt x="401411" y="0"/>
              </a:cubicBezTo>
              <a:cubicBezTo>
                <a:pt x="446768" y="2268"/>
                <a:pt x="492239" y="2869"/>
                <a:pt x="537482" y="6803"/>
              </a:cubicBezTo>
              <a:cubicBezTo>
                <a:pt x="544627" y="7424"/>
                <a:pt x="550997" y="11637"/>
                <a:pt x="557893" y="13607"/>
              </a:cubicBezTo>
              <a:cubicBezTo>
                <a:pt x="585554" y="21510"/>
                <a:pt x="577674" y="20410"/>
                <a:pt x="598714" y="2041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659947</xdr:colOff>
      <xdr:row>3</xdr:row>
      <xdr:rowOff>40821</xdr:rowOff>
    </xdr:from>
    <xdr:to>
      <xdr:col>22</xdr:col>
      <xdr:colOff>102053</xdr:colOff>
      <xdr:row>5</xdr:row>
      <xdr:rowOff>136071</xdr:rowOff>
    </xdr:to>
    <xdr:sp macro="" textlink="">
      <xdr:nvSpPr>
        <xdr:cNvPr id="56" name="Curved Right Arrow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12654643" y="632732"/>
          <a:ext cx="163285" cy="489857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639536</xdr:colOff>
      <xdr:row>3</xdr:row>
      <xdr:rowOff>27216</xdr:rowOff>
    </xdr:from>
    <xdr:to>
      <xdr:col>24</xdr:col>
      <xdr:colOff>816429</xdr:colOff>
      <xdr:row>5</xdr:row>
      <xdr:rowOff>136073</xdr:rowOff>
    </xdr:to>
    <xdr:sp macro="" textlink="">
      <xdr:nvSpPr>
        <xdr:cNvPr id="58" name="Curved Left Arrow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14512018" y="619127"/>
          <a:ext cx="176893" cy="503464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551090</xdr:colOff>
      <xdr:row>6</xdr:row>
      <xdr:rowOff>74840</xdr:rowOff>
    </xdr:from>
    <xdr:to>
      <xdr:col>21</xdr:col>
      <xdr:colOff>596809</xdr:colOff>
      <xdr:row>8</xdr:row>
      <xdr:rowOff>61232</xdr:rowOff>
    </xdr:to>
    <xdr:sp macro="" textlink="">
      <xdr:nvSpPr>
        <xdr:cNvPr id="59" name="Up Arrow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12545786" y="1258661"/>
          <a:ext cx="45719" cy="3810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823232</xdr:colOff>
      <xdr:row>6</xdr:row>
      <xdr:rowOff>102055</xdr:rowOff>
    </xdr:from>
    <xdr:to>
      <xdr:col>25</xdr:col>
      <xdr:colOff>18504</xdr:colOff>
      <xdr:row>8</xdr:row>
      <xdr:rowOff>88447</xdr:rowOff>
    </xdr:to>
    <xdr:sp macro="" textlink="">
      <xdr:nvSpPr>
        <xdr:cNvPr id="60" name="Up Arrow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14695714" y="1285876"/>
          <a:ext cx="45719" cy="3810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163286</xdr:colOff>
      <xdr:row>2</xdr:row>
      <xdr:rowOff>190500</xdr:rowOff>
    </xdr:from>
    <xdr:to>
      <xdr:col>21</xdr:col>
      <xdr:colOff>476250</xdr:colOff>
      <xdr:row>4</xdr:row>
      <xdr:rowOff>54429</xdr:rowOff>
    </xdr:to>
    <xdr:sp macro="" textlink="">
      <xdr:nvSpPr>
        <xdr:cNvPr id="61" name="Oval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12157982" y="585107"/>
          <a:ext cx="312964" cy="25853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381000</xdr:colOff>
      <xdr:row>3</xdr:row>
      <xdr:rowOff>170089</xdr:rowOff>
    </xdr:from>
    <xdr:to>
      <xdr:col>26</xdr:col>
      <xdr:colOff>115661</xdr:colOff>
      <xdr:row>5</xdr:row>
      <xdr:rowOff>34018</xdr:rowOff>
    </xdr:to>
    <xdr:sp macro="" textlink="">
      <xdr:nvSpPr>
        <xdr:cNvPr id="62" name="Oval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15103929" y="762000"/>
          <a:ext cx="312964" cy="25853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129268</xdr:colOff>
      <xdr:row>7</xdr:row>
      <xdr:rowOff>190501</xdr:rowOff>
    </xdr:from>
    <xdr:to>
      <xdr:col>18</xdr:col>
      <xdr:colOff>632732</xdr:colOff>
      <xdr:row>8</xdr:row>
      <xdr:rowOff>40822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9667875" y="1571626"/>
          <a:ext cx="1081768" cy="476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95250</xdr:colOff>
      <xdr:row>6</xdr:row>
      <xdr:rowOff>20411</xdr:rowOff>
    </xdr:from>
    <xdr:to>
      <xdr:col>24</xdr:col>
      <xdr:colOff>95250</xdr:colOff>
      <xdr:row>7</xdr:row>
      <xdr:rowOff>156482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/>
      </xdr:nvCxnSpPr>
      <xdr:spPr>
        <a:xfrm>
          <a:off x="13967732" y="1204232"/>
          <a:ext cx="0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149679</xdr:colOff>
      <xdr:row>4</xdr:row>
      <xdr:rowOff>47627</xdr:rowOff>
    </xdr:from>
    <xdr:to>
      <xdr:col>25</xdr:col>
      <xdr:colOff>0</xdr:colOff>
      <xdr:row>4</xdr:row>
      <xdr:rowOff>102055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14022161" y="836841"/>
          <a:ext cx="700768" cy="54428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326572</xdr:colOff>
      <xdr:row>2</xdr:row>
      <xdr:rowOff>74839</xdr:rowOff>
    </xdr:from>
    <xdr:to>
      <xdr:col>24</xdr:col>
      <xdr:colOff>591911</xdr:colOff>
      <xdr:row>4</xdr:row>
      <xdr:rowOff>47625</xdr:rowOff>
    </xdr:to>
    <xdr:sp macro="" textlink="">
      <xdr:nvSpPr>
        <xdr:cNvPr id="45" name="Freeform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4199054" y="469446"/>
          <a:ext cx="265339" cy="367393"/>
        </a:xfrm>
        <a:custGeom>
          <a:avLst/>
          <a:gdLst>
            <a:gd name="connsiteX0" fmla="*/ 0 w 265339"/>
            <a:gd name="connsiteY0" fmla="*/ 367393 h 367393"/>
            <a:gd name="connsiteX1" fmla="*/ 20410 w 265339"/>
            <a:gd name="connsiteY1" fmla="*/ 333375 h 367393"/>
            <a:gd name="connsiteX2" fmla="*/ 27214 w 265339"/>
            <a:gd name="connsiteY2" fmla="*/ 292554 h 367393"/>
            <a:gd name="connsiteX3" fmla="*/ 34017 w 265339"/>
            <a:gd name="connsiteY3" fmla="*/ 272143 h 367393"/>
            <a:gd name="connsiteX4" fmla="*/ 54428 w 265339"/>
            <a:gd name="connsiteY4" fmla="*/ 156483 h 367393"/>
            <a:gd name="connsiteX5" fmla="*/ 68035 w 265339"/>
            <a:gd name="connsiteY5" fmla="*/ 142875 h 367393"/>
            <a:gd name="connsiteX6" fmla="*/ 95250 w 265339"/>
            <a:gd name="connsiteY6" fmla="*/ 95250 h 367393"/>
            <a:gd name="connsiteX7" fmla="*/ 108857 w 265339"/>
            <a:gd name="connsiteY7" fmla="*/ 74840 h 367393"/>
            <a:gd name="connsiteX8" fmla="*/ 129267 w 265339"/>
            <a:gd name="connsiteY8" fmla="*/ 54429 h 367393"/>
            <a:gd name="connsiteX9" fmla="*/ 142875 w 265339"/>
            <a:gd name="connsiteY9" fmla="*/ 34018 h 367393"/>
            <a:gd name="connsiteX10" fmla="*/ 204107 w 265339"/>
            <a:gd name="connsiteY10" fmla="*/ 0 h 367393"/>
            <a:gd name="connsiteX11" fmla="*/ 244928 w 265339"/>
            <a:gd name="connsiteY11" fmla="*/ 6804 h 367393"/>
            <a:gd name="connsiteX12" fmla="*/ 265339 w 265339"/>
            <a:gd name="connsiteY12" fmla="*/ 13608 h 36739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265339" h="367393">
              <a:moveTo>
                <a:pt x="0" y="367393"/>
              </a:moveTo>
              <a:cubicBezTo>
                <a:pt x="6803" y="356054"/>
                <a:pt x="15891" y="345803"/>
                <a:pt x="20410" y="333375"/>
              </a:cubicBezTo>
              <a:cubicBezTo>
                <a:pt x="25124" y="320411"/>
                <a:pt x="24222" y="306020"/>
                <a:pt x="27214" y="292554"/>
              </a:cubicBezTo>
              <a:cubicBezTo>
                <a:pt x="28770" y="285553"/>
                <a:pt x="31749" y="278947"/>
                <a:pt x="34017" y="272143"/>
              </a:cubicBezTo>
              <a:cubicBezTo>
                <a:pt x="34600" y="265733"/>
                <a:pt x="37206" y="173707"/>
                <a:pt x="54428" y="156483"/>
              </a:cubicBezTo>
              <a:lnTo>
                <a:pt x="68035" y="142875"/>
              </a:lnTo>
              <a:cubicBezTo>
                <a:pt x="79076" y="109754"/>
                <a:pt x="69507" y="131291"/>
                <a:pt x="95250" y="95250"/>
              </a:cubicBezTo>
              <a:cubicBezTo>
                <a:pt x="100003" y="88596"/>
                <a:pt x="103622" y="81122"/>
                <a:pt x="108857" y="74840"/>
              </a:cubicBezTo>
              <a:cubicBezTo>
                <a:pt x="115017" y="67448"/>
                <a:pt x="123107" y="61821"/>
                <a:pt x="129267" y="54429"/>
              </a:cubicBezTo>
              <a:cubicBezTo>
                <a:pt x="134502" y="48147"/>
                <a:pt x="136721" y="39403"/>
                <a:pt x="142875" y="34018"/>
              </a:cubicBezTo>
              <a:cubicBezTo>
                <a:pt x="171668" y="8825"/>
                <a:pt x="176074" y="9345"/>
                <a:pt x="204107" y="0"/>
              </a:cubicBezTo>
              <a:cubicBezTo>
                <a:pt x="217714" y="2268"/>
                <a:pt x="231462" y="3811"/>
                <a:pt x="244928" y="6804"/>
              </a:cubicBezTo>
              <a:cubicBezTo>
                <a:pt x="251929" y="8360"/>
                <a:pt x="265339" y="13608"/>
                <a:pt x="265339" y="13608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258534</xdr:colOff>
      <xdr:row>7</xdr:row>
      <xdr:rowOff>95250</xdr:rowOff>
    </xdr:from>
    <xdr:to>
      <xdr:col>18</xdr:col>
      <xdr:colOff>496659</xdr:colOff>
      <xdr:row>8</xdr:row>
      <xdr:rowOff>136071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10375445" y="1476375"/>
          <a:ext cx="238125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272143</xdr:colOff>
      <xdr:row>12</xdr:row>
      <xdr:rowOff>204106</xdr:rowOff>
    </xdr:from>
    <xdr:to>
      <xdr:col>18</xdr:col>
      <xdr:colOff>510268</xdr:colOff>
      <xdr:row>13</xdr:row>
      <xdr:rowOff>176892</xdr:rowOff>
    </xdr:to>
    <xdr:sp macro="" textlink="">
      <xdr:nvSpPr>
        <xdr:cNvPr id="65" name="Oval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10389054" y="2571749"/>
          <a:ext cx="238125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563339</xdr:colOff>
      <xdr:row>1</xdr:row>
      <xdr:rowOff>161923</xdr:rowOff>
    </xdr:from>
    <xdr:to>
      <xdr:col>24</xdr:col>
      <xdr:colOff>352429</xdr:colOff>
      <xdr:row>3</xdr:row>
      <xdr:rowOff>148316</xdr:rowOff>
    </xdr:to>
    <xdr:sp macro="" textlink="">
      <xdr:nvSpPr>
        <xdr:cNvPr id="67" name="Up Arrow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 rot="10800000">
          <a:off x="13857518" y="359227"/>
          <a:ext cx="367393" cy="3810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78</xdr:col>
      <xdr:colOff>204107</xdr:colOff>
      <xdr:row>15</xdr:row>
      <xdr:rowOff>115661</xdr:rowOff>
    </xdr:from>
    <xdr:to>
      <xdr:col>78</xdr:col>
      <xdr:colOff>346982</xdr:colOff>
      <xdr:row>17</xdr:row>
      <xdr:rowOff>142875</xdr:rowOff>
    </xdr:to>
    <xdr:sp macro="" textlink="">
      <xdr:nvSpPr>
        <xdr:cNvPr id="69" name="Curved Right Arrow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46903821" y="3211286"/>
          <a:ext cx="142875" cy="421821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82</xdr:col>
      <xdr:colOff>285750</xdr:colOff>
      <xdr:row>16</xdr:row>
      <xdr:rowOff>6803</xdr:rowOff>
    </xdr:from>
    <xdr:to>
      <xdr:col>82</xdr:col>
      <xdr:colOff>408214</xdr:colOff>
      <xdr:row>18</xdr:row>
      <xdr:rowOff>20410</xdr:rowOff>
    </xdr:to>
    <xdr:sp macro="" textlink="">
      <xdr:nvSpPr>
        <xdr:cNvPr id="70" name="Curved Left Arrow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49434750" y="3299732"/>
          <a:ext cx="122464" cy="408214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78</xdr:col>
      <xdr:colOff>394608</xdr:colOff>
      <xdr:row>26</xdr:row>
      <xdr:rowOff>81643</xdr:rowOff>
    </xdr:from>
    <xdr:to>
      <xdr:col>78</xdr:col>
      <xdr:colOff>537483</xdr:colOff>
      <xdr:row>28</xdr:row>
      <xdr:rowOff>122464</xdr:rowOff>
    </xdr:to>
    <xdr:sp macro="" textlink="">
      <xdr:nvSpPr>
        <xdr:cNvPr id="71" name="Curved Right Arrow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47094322" y="5306786"/>
          <a:ext cx="142875" cy="421821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82</xdr:col>
      <xdr:colOff>367393</xdr:colOff>
      <xdr:row>26</xdr:row>
      <xdr:rowOff>74839</xdr:rowOff>
    </xdr:from>
    <xdr:to>
      <xdr:col>82</xdr:col>
      <xdr:colOff>489857</xdr:colOff>
      <xdr:row>28</xdr:row>
      <xdr:rowOff>102053</xdr:rowOff>
    </xdr:to>
    <xdr:sp macro="" textlink="">
      <xdr:nvSpPr>
        <xdr:cNvPr id="72" name="Curved Left Arrow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49516393" y="5299982"/>
          <a:ext cx="122464" cy="408214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48</xdr:col>
      <xdr:colOff>183696</xdr:colOff>
      <xdr:row>9</xdr:row>
      <xdr:rowOff>13607</xdr:rowOff>
    </xdr:from>
    <xdr:to>
      <xdr:col>55</xdr:col>
      <xdr:colOff>319767</xdr:colOff>
      <xdr:row>12</xdr:row>
      <xdr:rowOff>149678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54" t="36845" r="4711" b="29469"/>
        <a:stretch/>
      </xdr:blipFill>
      <xdr:spPr>
        <a:xfrm>
          <a:off x="28500160" y="1789339"/>
          <a:ext cx="5000625" cy="727982"/>
        </a:xfrm>
        <a:prstGeom prst="rect">
          <a:avLst/>
        </a:prstGeom>
      </xdr:spPr>
    </xdr:pic>
    <xdr:clientData/>
  </xdr:twoCellAnchor>
  <xdr:twoCellAnchor>
    <xdr:from>
      <xdr:col>49</xdr:col>
      <xdr:colOff>54429</xdr:colOff>
      <xdr:row>9</xdr:row>
      <xdr:rowOff>142875</xdr:rowOff>
    </xdr:from>
    <xdr:to>
      <xdr:col>49</xdr:col>
      <xdr:colOff>190500</xdr:colOff>
      <xdr:row>11</xdr:row>
      <xdr:rowOff>129268</xdr:rowOff>
    </xdr:to>
    <xdr:sp macro="" textlink="">
      <xdr:nvSpPr>
        <xdr:cNvPr id="33" name="Curved Right Arrow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8949197" y="1918607"/>
          <a:ext cx="136071" cy="38100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53</xdr:col>
      <xdr:colOff>503464</xdr:colOff>
      <xdr:row>9</xdr:row>
      <xdr:rowOff>54429</xdr:rowOff>
    </xdr:from>
    <xdr:to>
      <xdr:col>55</xdr:col>
      <xdr:colOff>163286</xdr:colOff>
      <xdr:row>11</xdr:row>
      <xdr:rowOff>27215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31983589" y="1830161"/>
          <a:ext cx="1360715" cy="367393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52</xdr:col>
      <xdr:colOff>483053</xdr:colOff>
      <xdr:row>9</xdr:row>
      <xdr:rowOff>163286</xdr:rowOff>
    </xdr:from>
    <xdr:to>
      <xdr:col>52</xdr:col>
      <xdr:colOff>605517</xdr:colOff>
      <xdr:row>11</xdr:row>
      <xdr:rowOff>149679</xdr:rowOff>
    </xdr:to>
    <xdr:sp macro="" textlink="">
      <xdr:nvSpPr>
        <xdr:cNvPr id="39" name="Curved Left Arrow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31112732" y="1939018"/>
          <a:ext cx="122464" cy="38100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48</xdr:col>
      <xdr:colOff>224518</xdr:colOff>
      <xdr:row>6</xdr:row>
      <xdr:rowOff>81643</xdr:rowOff>
    </xdr:from>
    <xdr:to>
      <xdr:col>52</xdr:col>
      <xdr:colOff>680357</xdr:colOff>
      <xdr:row>6</xdr:row>
      <xdr:rowOff>95250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>
          <a:off x="28540982" y="1265464"/>
          <a:ext cx="2769054" cy="13607"/>
        </a:xfrm>
        <a:prstGeom prst="line">
          <a:avLst/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27214</xdr:colOff>
      <xdr:row>5</xdr:row>
      <xdr:rowOff>108857</xdr:rowOff>
    </xdr:from>
    <xdr:to>
      <xdr:col>52</xdr:col>
      <xdr:colOff>632732</xdr:colOff>
      <xdr:row>6</xdr:row>
      <xdr:rowOff>47625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30078589" y="1095375"/>
          <a:ext cx="1183822" cy="136071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48</xdr:col>
      <xdr:colOff>340178</xdr:colOff>
      <xdr:row>5</xdr:row>
      <xdr:rowOff>61232</xdr:rowOff>
    </xdr:from>
    <xdr:to>
      <xdr:col>48</xdr:col>
      <xdr:colOff>476249</xdr:colOff>
      <xdr:row>7</xdr:row>
      <xdr:rowOff>47625</xdr:rowOff>
    </xdr:to>
    <xdr:sp macro="" textlink="">
      <xdr:nvSpPr>
        <xdr:cNvPr id="73" name="Curved Right Arrow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8656642" y="1047750"/>
          <a:ext cx="136071" cy="38100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52</xdr:col>
      <xdr:colOff>442232</xdr:colOff>
      <xdr:row>4</xdr:row>
      <xdr:rowOff>190500</xdr:rowOff>
    </xdr:from>
    <xdr:to>
      <xdr:col>52</xdr:col>
      <xdr:colOff>564696</xdr:colOff>
      <xdr:row>6</xdr:row>
      <xdr:rowOff>176893</xdr:rowOff>
    </xdr:to>
    <xdr:sp macro="" textlink="">
      <xdr:nvSpPr>
        <xdr:cNvPr id="75" name="Curved Left Arrow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31071911" y="979714"/>
          <a:ext cx="122464" cy="38100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48</xdr:col>
      <xdr:colOff>149679</xdr:colOff>
      <xdr:row>7</xdr:row>
      <xdr:rowOff>136071</xdr:rowOff>
    </xdr:from>
    <xdr:to>
      <xdr:col>53</xdr:col>
      <xdr:colOff>40821</xdr:colOff>
      <xdr:row>7</xdr:row>
      <xdr:rowOff>136071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CxnSpPr/>
      </xdr:nvCxnSpPr>
      <xdr:spPr>
        <a:xfrm>
          <a:off x="28466143" y="1517196"/>
          <a:ext cx="305480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244929</xdr:colOff>
      <xdr:row>6</xdr:row>
      <xdr:rowOff>183697</xdr:rowOff>
    </xdr:from>
    <xdr:to>
      <xdr:col>48</xdr:col>
      <xdr:colOff>244929</xdr:colOff>
      <xdr:row>8</xdr:row>
      <xdr:rowOff>74839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CxnSpPr/>
      </xdr:nvCxnSpPr>
      <xdr:spPr>
        <a:xfrm>
          <a:off x="28561393" y="1367518"/>
          <a:ext cx="0" cy="285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659945</xdr:colOff>
      <xdr:row>6</xdr:row>
      <xdr:rowOff>190501</xdr:rowOff>
    </xdr:from>
    <xdr:to>
      <xdr:col>52</xdr:col>
      <xdr:colOff>659945</xdr:colOff>
      <xdr:row>8</xdr:row>
      <xdr:rowOff>81643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>
          <a:off x="31289624" y="1374322"/>
          <a:ext cx="0" cy="285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36739</xdr:colOff>
      <xdr:row>7</xdr:row>
      <xdr:rowOff>36739</xdr:rowOff>
    </xdr:from>
    <xdr:to>
      <xdr:col>51</xdr:col>
      <xdr:colOff>36739</xdr:colOff>
      <xdr:row>8</xdr:row>
      <xdr:rowOff>125185</xdr:rowOff>
    </xdr:to>
    <xdr:cxnSp macro="">
      <xdr:nvCxnSpPr>
        <xdr:cNvPr id="80" name="Straight Connector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CxnSpPr/>
      </xdr:nvCxnSpPr>
      <xdr:spPr>
        <a:xfrm>
          <a:off x="30088114" y="1417864"/>
          <a:ext cx="0" cy="285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74839</xdr:colOff>
      <xdr:row>7</xdr:row>
      <xdr:rowOff>54429</xdr:rowOff>
    </xdr:from>
    <xdr:ext cx="778034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/>
      </xdr:nvSpPr>
      <xdr:spPr>
        <a:xfrm>
          <a:off x="28969607" y="1435554"/>
          <a:ext cx="7780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b= L1=3 m</a:t>
          </a:r>
        </a:p>
      </xdr:txBody>
    </xdr:sp>
    <xdr:clientData/>
  </xdr:oneCellAnchor>
  <xdr:oneCellAnchor>
    <xdr:from>
      <xdr:col>51</xdr:col>
      <xdr:colOff>306161</xdr:colOff>
      <xdr:row>7</xdr:row>
      <xdr:rowOff>88446</xdr:rowOff>
    </xdr:from>
    <xdr:ext cx="744563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/>
      </xdr:nvSpPr>
      <xdr:spPr>
        <a:xfrm>
          <a:off x="30357536" y="1469571"/>
          <a:ext cx="74456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a= l2=1 m</a:t>
          </a:r>
        </a:p>
      </xdr:txBody>
    </xdr:sp>
    <xdr:clientData/>
  </xdr:oneCellAnchor>
  <xdr:twoCellAnchor editAs="oneCell">
    <xdr:from>
      <xdr:col>52</xdr:col>
      <xdr:colOff>238125</xdr:colOff>
      <xdr:row>0</xdr:row>
      <xdr:rowOff>129268</xdr:rowOff>
    </xdr:from>
    <xdr:to>
      <xdr:col>54</xdr:col>
      <xdr:colOff>387804</xdr:colOff>
      <xdr:row>4</xdr:row>
      <xdr:rowOff>68036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69" t="36845" r="4710" b="29469"/>
        <a:stretch/>
      </xdr:blipFill>
      <xdr:spPr>
        <a:xfrm>
          <a:off x="30867804" y="129268"/>
          <a:ext cx="1850571" cy="727982"/>
        </a:xfrm>
        <a:prstGeom prst="rect">
          <a:avLst/>
        </a:prstGeom>
      </xdr:spPr>
    </xdr:pic>
    <xdr:clientData/>
  </xdr:twoCellAnchor>
  <xdr:twoCellAnchor>
    <xdr:from>
      <xdr:col>52</xdr:col>
      <xdr:colOff>244928</xdr:colOff>
      <xdr:row>1</xdr:row>
      <xdr:rowOff>27214</xdr:rowOff>
    </xdr:from>
    <xdr:to>
      <xdr:col>52</xdr:col>
      <xdr:colOff>537482</xdr:colOff>
      <xdr:row>3</xdr:row>
      <xdr:rowOff>47625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30874607" y="224518"/>
          <a:ext cx="292554" cy="415018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52</xdr:col>
      <xdr:colOff>190499</xdr:colOff>
      <xdr:row>1</xdr:row>
      <xdr:rowOff>6803</xdr:rowOff>
    </xdr:from>
    <xdr:ext cx="401777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/>
      </xdr:nvSpPr>
      <xdr:spPr>
        <a:xfrm>
          <a:off x="30820178" y="204107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Mki</a:t>
          </a:r>
        </a:p>
      </xdr:txBody>
    </xdr:sp>
    <xdr:clientData/>
  </xdr:oneCellAnchor>
  <xdr:oneCellAnchor>
    <xdr:from>
      <xdr:col>52</xdr:col>
      <xdr:colOff>170088</xdr:colOff>
      <xdr:row>2</xdr:row>
      <xdr:rowOff>6804</xdr:rowOff>
    </xdr:from>
    <xdr:ext cx="436979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/>
      </xdr:nvSpPr>
      <xdr:spPr>
        <a:xfrm>
          <a:off x="30799767" y="401411"/>
          <a:ext cx="4369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Mka</a:t>
          </a:r>
        </a:p>
      </xdr:txBody>
    </xdr:sp>
    <xdr:clientData/>
  </xdr:oneCellAnchor>
  <xdr:twoCellAnchor editAs="oneCell">
    <xdr:from>
      <xdr:col>43</xdr:col>
      <xdr:colOff>68036</xdr:colOff>
      <xdr:row>12</xdr:row>
      <xdr:rowOff>74840</xdr:rowOff>
    </xdr:from>
    <xdr:to>
      <xdr:col>48</xdr:col>
      <xdr:colOff>309356</xdr:colOff>
      <xdr:row>15</xdr:row>
      <xdr:rowOff>68036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59" t="48634" r="4948" b="20103"/>
        <a:stretch/>
      </xdr:blipFill>
      <xdr:spPr>
        <a:xfrm>
          <a:off x="25492982" y="2442483"/>
          <a:ext cx="3132838" cy="653142"/>
        </a:xfrm>
        <a:prstGeom prst="rect">
          <a:avLst/>
        </a:prstGeom>
      </xdr:spPr>
    </xdr:pic>
    <xdr:clientData/>
  </xdr:twoCellAnchor>
  <xdr:twoCellAnchor>
    <xdr:from>
      <xdr:col>24</xdr:col>
      <xdr:colOff>496662</xdr:colOff>
      <xdr:row>4</xdr:row>
      <xdr:rowOff>1</xdr:rowOff>
    </xdr:from>
    <xdr:to>
      <xdr:col>24</xdr:col>
      <xdr:colOff>503465</xdr:colOff>
      <xdr:row>6</xdr:row>
      <xdr:rowOff>61233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CxnSpPr/>
      </xdr:nvCxnSpPr>
      <xdr:spPr>
        <a:xfrm>
          <a:off x="14369144" y="789215"/>
          <a:ext cx="6803" cy="4558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152</xdr:col>
      <xdr:colOff>598715</xdr:colOff>
      <xdr:row>9</xdr:row>
      <xdr:rowOff>0</xdr:rowOff>
    </xdr:from>
    <xdr:to>
      <xdr:col>177</xdr:col>
      <xdr:colOff>204107</xdr:colOff>
      <xdr:row>53</xdr:row>
      <xdr:rowOff>108857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4536" y="1836964"/>
          <a:ext cx="14913428" cy="9048750"/>
        </a:xfrm>
        <a:prstGeom prst="rect">
          <a:avLst/>
        </a:prstGeom>
      </xdr:spPr>
    </xdr:pic>
    <xdr:clientData/>
  </xdr:twoCellAnchor>
  <xdr:twoCellAnchor editAs="oneCell">
    <xdr:from>
      <xdr:col>155</xdr:col>
      <xdr:colOff>312964</xdr:colOff>
      <xdr:row>52</xdr:row>
      <xdr:rowOff>40820</xdr:rowOff>
    </xdr:from>
    <xdr:to>
      <xdr:col>185</xdr:col>
      <xdr:colOff>462643</xdr:colOff>
      <xdr:row>102</xdr:row>
      <xdr:rowOff>13607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0" y="10613570"/>
          <a:ext cx="18519321" cy="10559144"/>
        </a:xfrm>
        <a:prstGeom prst="rect">
          <a:avLst/>
        </a:prstGeom>
      </xdr:spPr>
    </xdr:pic>
    <xdr:clientData/>
  </xdr:twoCellAnchor>
  <xdr:twoCellAnchor>
    <xdr:from>
      <xdr:col>171</xdr:col>
      <xdr:colOff>435426</xdr:colOff>
      <xdr:row>55</xdr:row>
      <xdr:rowOff>190500</xdr:rowOff>
    </xdr:from>
    <xdr:to>
      <xdr:col>175</xdr:col>
      <xdr:colOff>585106</xdr:colOff>
      <xdr:row>64</xdr:row>
      <xdr:rowOff>108857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98515712" y="11375571"/>
          <a:ext cx="2598965" cy="175532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134</xdr:col>
      <xdr:colOff>0</xdr:colOff>
      <xdr:row>3</xdr:row>
      <xdr:rowOff>108858</xdr:rowOff>
    </xdr:from>
    <xdr:to>
      <xdr:col>148</xdr:col>
      <xdr:colOff>81643</xdr:colOff>
      <xdr:row>11</xdr:row>
      <xdr:rowOff>190500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1615643" y="721179"/>
          <a:ext cx="3714750" cy="17145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428624</xdr:colOff>
      <xdr:row>47</xdr:row>
      <xdr:rowOff>88446</xdr:rowOff>
    </xdr:from>
    <xdr:to>
      <xdr:col>23</xdr:col>
      <xdr:colOff>323169</xdr:colOff>
      <xdr:row>65</xdr:row>
      <xdr:rowOff>115661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843" t="23340" r="18966" b="11212"/>
        <a:stretch/>
      </xdr:blipFill>
      <xdr:spPr>
        <a:xfrm>
          <a:off x="16740187" y="9041946"/>
          <a:ext cx="2752045" cy="3456215"/>
        </a:xfrm>
        <a:prstGeom prst="rect">
          <a:avLst/>
        </a:prstGeom>
      </xdr:spPr>
    </xdr:pic>
    <xdr:clientData/>
  </xdr:twoCellAnchor>
  <xdr:twoCellAnchor editAs="oneCell">
    <xdr:from>
      <xdr:col>38</xdr:col>
      <xdr:colOff>109035</xdr:colOff>
      <xdr:row>44</xdr:row>
      <xdr:rowOff>150395</xdr:rowOff>
    </xdr:from>
    <xdr:to>
      <xdr:col>54</xdr:col>
      <xdr:colOff>166185</xdr:colOff>
      <xdr:row>82</xdr:row>
      <xdr:rowOff>13573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76640" y="8973553"/>
          <a:ext cx="10123571" cy="7483178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45</xdr:row>
      <xdr:rowOff>166688</xdr:rowOff>
    </xdr:from>
    <xdr:to>
      <xdr:col>38</xdr:col>
      <xdr:colOff>295275</xdr:colOff>
      <xdr:row>83</xdr:row>
      <xdr:rowOff>39892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40563" y="8739188"/>
          <a:ext cx="10058400" cy="7112204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86</xdr:row>
      <xdr:rowOff>0</xdr:rowOff>
    </xdr:from>
    <xdr:to>
      <xdr:col>38</xdr:col>
      <xdr:colOff>295275</xdr:colOff>
      <xdr:row>123</xdr:row>
      <xdr:rowOff>63704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40563" y="16383000"/>
          <a:ext cx="10058400" cy="7112204"/>
        </a:xfrm>
        <a:prstGeom prst="rect">
          <a:avLst/>
        </a:prstGeom>
      </xdr:spPr>
    </xdr:pic>
    <xdr:clientData/>
  </xdr:twoCellAnchor>
  <xdr:twoCellAnchor>
    <xdr:from>
      <xdr:col>39</xdr:col>
      <xdr:colOff>461209</xdr:colOff>
      <xdr:row>57</xdr:row>
      <xdr:rowOff>30079</xdr:rowOff>
    </xdr:from>
    <xdr:to>
      <xdr:col>40</xdr:col>
      <xdr:colOff>110288</xdr:colOff>
      <xdr:row>69</xdr:row>
      <xdr:rowOff>130342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30610341" y="11460079"/>
          <a:ext cx="230605" cy="250657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501315</xdr:colOff>
      <xdr:row>52</xdr:row>
      <xdr:rowOff>30079</xdr:rowOff>
    </xdr:from>
    <xdr:to>
      <xdr:col>39</xdr:col>
      <xdr:colOff>501315</xdr:colOff>
      <xdr:row>55</xdr:row>
      <xdr:rowOff>180474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>
          <a:off x="30650447" y="10457447"/>
          <a:ext cx="0" cy="751974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280735</xdr:colOff>
      <xdr:row>58</xdr:row>
      <xdr:rowOff>80214</xdr:rowOff>
    </xdr:from>
    <xdr:to>
      <xdr:col>40</xdr:col>
      <xdr:colOff>451182</xdr:colOff>
      <xdr:row>59</xdr:row>
      <xdr:rowOff>170451</xdr:rowOff>
    </xdr:to>
    <xdr:sp macro="" textlink="">
      <xdr:nvSpPr>
        <xdr:cNvPr id="9" name="Curved Left Arrow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 rot="16428810">
          <a:off x="30660472" y="11480135"/>
          <a:ext cx="290764" cy="751973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469085</xdr:colOff>
      <xdr:row>65</xdr:row>
      <xdr:rowOff>130088</xdr:rowOff>
    </xdr:from>
    <xdr:to>
      <xdr:col>33</xdr:col>
      <xdr:colOff>20169</xdr:colOff>
      <xdr:row>67</xdr:row>
      <xdr:rowOff>0</xdr:rowOff>
    </xdr:to>
    <xdr:sp macro="" textlink="">
      <xdr:nvSpPr>
        <xdr:cNvPr id="10" name="Freeform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6316927" y="13164299"/>
          <a:ext cx="333137" cy="270964"/>
        </a:xfrm>
        <a:custGeom>
          <a:avLst/>
          <a:gdLst>
            <a:gd name="connsiteX0" fmla="*/ 232757 w 333137"/>
            <a:gd name="connsiteY0" fmla="*/ 40359 h 270964"/>
            <a:gd name="connsiteX1" fmla="*/ 52284 w 333137"/>
            <a:gd name="connsiteY1" fmla="*/ 40359 h 270964"/>
            <a:gd name="connsiteX2" fmla="*/ 22205 w 333137"/>
            <a:gd name="connsiteY2" fmla="*/ 60412 h 270964"/>
            <a:gd name="connsiteX3" fmla="*/ 22205 w 333137"/>
            <a:gd name="connsiteY3" fmla="*/ 250912 h 270964"/>
            <a:gd name="connsiteX4" fmla="*/ 82362 w 333137"/>
            <a:gd name="connsiteY4" fmla="*/ 270964 h 270964"/>
            <a:gd name="connsiteX5" fmla="*/ 132494 w 333137"/>
            <a:gd name="connsiteY5" fmla="*/ 260938 h 270964"/>
            <a:gd name="connsiteX6" fmla="*/ 162573 w 333137"/>
            <a:gd name="connsiteY6" fmla="*/ 250912 h 270964"/>
            <a:gd name="connsiteX7" fmla="*/ 212705 w 333137"/>
            <a:gd name="connsiteY7" fmla="*/ 240885 h 270964"/>
            <a:gd name="connsiteX8" fmla="*/ 272862 w 333137"/>
            <a:gd name="connsiteY8" fmla="*/ 200780 h 270964"/>
            <a:gd name="connsiteX9" fmla="*/ 322994 w 333137"/>
            <a:gd name="connsiteY9" fmla="*/ 140622 h 270964"/>
            <a:gd name="connsiteX10" fmla="*/ 333020 w 333137"/>
            <a:gd name="connsiteY10" fmla="*/ 110543 h 270964"/>
            <a:gd name="connsiteX11" fmla="*/ 292915 w 333137"/>
            <a:gd name="connsiteY11" fmla="*/ 20306 h 270964"/>
            <a:gd name="connsiteX12" fmla="*/ 262836 w 333137"/>
            <a:gd name="connsiteY12" fmla="*/ 254 h 270964"/>
            <a:gd name="connsiteX13" fmla="*/ 232757 w 333137"/>
            <a:gd name="connsiteY13" fmla="*/ 40359 h 2709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333137" h="270964">
              <a:moveTo>
                <a:pt x="232757" y="40359"/>
              </a:moveTo>
              <a:cubicBezTo>
                <a:pt x="197665" y="47043"/>
                <a:pt x="132648" y="21813"/>
                <a:pt x="52284" y="40359"/>
              </a:cubicBezTo>
              <a:cubicBezTo>
                <a:pt x="40542" y="43069"/>
                <a:pt x="32231" y="53728"/>
                <a:pt x="22205" y="60412"/>
              </a:cubicBezTo>
              <a:cubicBezTo>
                <a:pt x="314" y="126079"/>
                <a:pt x="-14237" y="157203"/>
                <a:pt x="22205" y="250912"/>
              </a:cubicBezTo>
              <a:cubicBezTo>
                <a:pt x="29866" y="270612"/>
                <a:pt x="82362" y="270964"/>
                <a:pt x="82362" y="270964"/>
              </a:cubicBezTo>
              <a:cubicBezTo>
                <a:pt x="99073" y="267622"/>
                <a:pt x="115961" y="265071"/>
                <a:pt x="132494" y="260938"/>
              </a:cubicBezTo>
              <a:cubicBezTo>
                <a:pt x="142747" y="258375"/>
                <a:pt x="152320" y="253475"/>
                <a:pt x="162573" y="250912"/>
              </a:cubicBezTo>
              <a:cubicBezTo>
                <a:pt x="179106" y="246779"/>
                <a:pt x="195994" y="244227"/>
                <a:pt x="212705" y="240885"/>
              </a:cubicBezTo>
              <a:cubicBezTo>
                <a:pt x="232757" y="227517"/>
                <a:pt x="259494" y="220832"/>
                <a:pt x="272862" y="200780"/>
              </a:cubicBezTo>
              <a:cubicBezTo>
                <a:pt x="300780" y="158903"/>
                <a:pt x="284394" y="179222"/>
                <a:pt x="322994" y="140622"/>
              </a:cubicBezTo>
              <a:cubicBezTo>
                <a:pt x="326336" y="130596"/>
                <a:pt x="334187" y="121047"/>
                <a:pt x="333020" y="110543"/>
              </a:cubicBezTo>
              <a:cubicBezTo>
                <a:pt x="330538" y="88204"/>
                <a:pt x="312504" y="39895"/>
                <a:pt x="292915" y="20306"/>
              </a:cubicBezTo>
              <a:cubicBezTo>
                <a:pt x="284394" y="11785"/>
                <a:pt x="274422" y="3564"/>
                <a:pt x="262836" y="254"/>
              </a:cubicBezTo>
              <a:cubicBezTo>
                <a:pt x="249982" y="-3418"/>
                <a:pt x="267849" y="33675"/>
                <a:pt x="232757" y="40359"/>
              </a:cubicBezTo>
              <a:close/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740411</xdr:colOff>
      <xdr:row>64</xdr:row>
      <xdr:rowOff>20053</xdr:rowOff>
    </xdr:from>
    <xdr:to>
      <xdr:col>33</xdr:col>
      <xdr:colOff>80351</xdr:colOff>
      <xdr:row>65</xdr:row>
      <xdr:rowOff>140368</xdr:rowOff>
    </xdr:to>
    <xdr:sp macro="" textlink="">
      <xdr:nvSpPr>
        <xdr:cNvPr id="11" name="Freeform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26588253" y="12853737"/>
          <a:ext cx="121993" cy="320842"/>
        </a:xfrm>
        <a:custGeom>
          <a:avLst/>
          <a:gdLst>
            <a:gd name="connsiteX0" fmla="*/ 31615 w 121993"/>
            <a:gd name="connsiteY0" fmla="*/ 320842 h 320842"/>
            <a:gd name="connsiteX1" fmla="*/ 51668 w 121993"/>
            <a:gd name="connsiteY1" fmla="*/ 270710 h 320842"/>
            <a:gd name="connsiteX2" fmla="*/ 51668 w 121993"/>
            <a:gd name="connsiteY2" fmla="*/ 0 h 320842"/>
            <a:gd name="connsiteX3" fmla="*/ 41642 w 121993"/>
            <a:gd name="connsiteY3" fmla="*/ 30079 h 320842"/>
            <a:gd name="connsiteX4" fmla="*/ 11563 w 121993"/>
            <a:gd name="connsiteY4" fmla="*/ 60158 h 320842"/>
            <a:gd name="connsiteX5" fmla="*/ 61694 w 121993"/>
            <a:gd name="connsiteY5" fmla="*/ 70184 h 320842"/>
            <a:gd name="connsiteX6" fmla="*/ 111826 w 121993"/>
            <a:gd name="connsiteY6" fmla="*/ 130342 h 320842"/>
            <a:gd name="connsiteX7" fmla="*/ 121852 w 121993"/>
            <a:gd name="connsiteY7" fmla="*/ 180474 h 3208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1993" h="320842">
              <a:moveTo>
                <a:pt x="31615" y="320842"/>
              </a:moveTo>
              <a:cubicBezTo>
                <a:pt x="38299" y="304131"/>
                <a:pt x="48138" y="288358"/>
                <a:pt x="51668" y="270710"/>
              </a:cubicBezTo>
              <a:cubicBezTo>
                <a:pt x="70923" y="174436"/>
                <a:pt x="57624" y="101256"/>
                <a:pt x="51668" y="0"/>
              </a:cubicBezTo>
              <a:cubicBezTo>
                <a:pt x="48326" y="10026"/>
                <a:pt x="46775" y="20840"/>
                <a:pt x="41642" y="30079"/>
              </a:cubicBezTo>
              <a:cubicBezTo>
                <a:pt x="-15821" y="133512"/>
                <a:pt x="-1045" y="97980"/>
                <a:pt x="11563" y="60158"/>
              </a:cubicBezTo>
              <a:cubicBezTo>
                <a:pt x="28273" y="63500"/>
                <a:pt x="46452" y="62563"/>
                <a:pt x="61694" y="70184"/>
              </a:cubicBezTo>
              <a:cubicBezTo>
                <a:pt x="80993" y="79834"/>
                <a:pt x="100310" y="113068"/>
                <a:pt x="111826" y="130342"/>
              </a:cubicBezTo>
              <a:cubicBezTo>
                <a:pt x="123966" y="166762"/>
                <a:pt x="121852" y="149852"/>
                <a:pt x="121852" y="180474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757333</xdr:colOff>
      <xdr:row>61</xdr:row>
      <xdr:rowOff>170448</xdr:rowOff>
    </xdr:from>
    <xdr:to>
      <xdr:col>33</xdr:col>
      <xdr:colOff>100263</xdr:colOff>
      <xdr:row>63</xdr:row>
      <xdr:rowOff>120932</xdr:rowOff>
    </xdr:to>
    <xdr:sp macro="" textlink="">
      <xdr:nvSpPr>
        <xdr:cNvPr id="12" name="Freeform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26605175" y="12402553"/>
          <a:ext cx="124983" cy="351537"/>
        </a:xfrm>
        <a:custGeom>
          <a:avLst/>
          <a:gdLst>
            <a:gd name="connsiteX0" fmla="*/ 44772 w 124983"/>
            <a:gd name="connsiteY0" fmla="*/ 0 h 351537"/>
            <a:gd name="connsiteX1" fmla="*/ 34746 w 124983"/>
            <a:gd name="connsiteY1" fmla="*/ 260684 h 351537"/>
            <a:gd name="connsiteX2" fmla="*/ 24720 w 124983"/>
            <a:gd name="connsiteY2" fmla="*/ 330868 h 351537"/>
            <a:gd name="connsiteX3" fmla="*/ 4667 w 124983"/>
            <a:gd name="connsiteY3" fmla="*/ 270710 h 351537"/>
            <a:gd name="connsiteX4" fmla="*/ 24720 w 124983"/>
            <a:gd name="connsiteY4" fmla="*/ 300789 h 351537"/>
            <a:gd name="connsiteX5" fmla="*/ 34746 w 124983"/>
            <a:gd name="connsiteY5" fmla="*/ 330868 h 351537"/>
            <a:gd name="connsiteX6" fmla="*/ 94904 w 124983"/>
            <a:gd name="connsiteY6" fmla="*/ 310815 h 351537"/>
            <a:gd name="connsiteX7" fmla="*/ 124983 w 124983"/>
            <a:gd name="connsiteY7" fmla="*/ 270710 h 3515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4983" h="351537">
              <a:moveTo>
                <a:pt x="44772" y="0"/>
              </a:moveTo>
              <a:cubicBezTo>
                <a:pt x="41430" y="86895"/>
                <a:pt x="40006" y="173884"/>
                <a:pt x="34746" y="260684"/>
              </a:cubicBezTo>
              <a:cubicBezTo>
                <a:pt x="33316" y="284273"/>
                <a:pt x="47140" y="323395"/>
                <a:pt x="24720" y="330868"/>
              </a:cubicBezTo>
              <a:cubicBezTo>
                <a:pt x="4667" y="337552"/>
                <a:pt x="-7058" y="253123"/>
                <a:pt x="4667" y="270710"/>
              </a:cubicBezTo>
              <a:lnTo>
                <a:pt x="24720" y="300789"/>
              </a:lnTo>
              <a:cubicBezTo>
                <a:pt x="28062" y="310815"/>
                <a:pt x="28144" y="322615"/>
                <a:pt x="34746" y="330868"/>
              </a:cubicBezTo>
              <a:cubicBezTo>
                <a:pt x="68371" y="372899"/>
                <a:pt x="71960" y="342937"/>
                <a:pt x="94904" y="310815"/>
              </a:cubicBezTo>
              <a:cubicBezTo>
                <a:pt x="123246" y="271137"/>
                <a:pt x="104214" y="291479"/>
                <a:pt x="124983" y="27071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520436</xdr:colOff>
      <xdr:row>64</xdr:row>
      <xdr:rowOff>40105</xdr:rowOff>
    </xdr:from>
    <xdr:to>
      <xdr:col>29</xdr:col>
      <xdr:colOff>151059</xdr:colOff>
      <xdr:row>65</xdr:row>
      <xdr:rowOff>190500</xdr:rowOff>
    </xdr:to>
    <xdr:sp macro="" textlink="">
      <xdr:nvSpPr>
        <xdr:cNvPr id="13" name="Freeform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23440594" y="12873789"/>
          <a:ext cx="212149" cy="350922"/>
        </a:xfrm>
        <a:custGeom>
          <a:avLst/>
          <a:gdLst>
            <a:gd name="connsiteX0" fmla="*/ 10959 w 212149"/>
            <a:gd name="connsiteY0" fmla="*/ 350922 h 350922"/>
            <a:gd name="connsiteX1" fmla="*/ 41038 w 212149"/>
            <a:gd name="connsiteY1" fmla="*/ 300790 h 350922"/>
            <a:gd name="connsiteX2" fmla="*/ 61090 w 212149"/>
            <a:gd name="connsiteY2" fmla="*/ 220579 h 350922"/>
            <a:gd name="connsiteX3" fmla="*/ 41038 w 212149"/>
            <a:gd name="connsiteY3" fmla="*/ 30079 h 350922"/>
            <a:gd name="connsiteX4" fmla="*/ 932 w 212149"/>
            <a:gd name="connsiteY4" fmla="*/ 90237 h 350922"/>
            <a:gd name="connsiteX5" fmla="*/ 31011 w 212149"/>
            <a:gd name="connsiteY5" fmla="*/ 50132 h 350922"/>
            <a:gd name="connsiteX6" fmla="*/ 81143 w 212149"/>
            <a:gd name="connsiteY6" fmla="*/ 0 h 350922"/>
            <a:gd name="connsiteX7" fmla="*/ 101195 w 212149"/>
            <a:gd name="connsiteY7" fmla="*/ 40106 h 350922"/>
            <a:gd name="connsiteX8" fmla="*/ 131274 w 212149"/>
            <a:gd name="connsiteY8" fmla="*/ 60158 h 350922"/>
            <a:gd name="connsiteX9" fmla="*/ 211485 w 212149"/>
            <a:gd name="connsiteY9" fmla="*/ 150395 h 350922"/>
            <a:gd name="connsiteX10" fmla="*/ 211485 w 212149"/>
            <a:gd name="connsiteY10" fmla="*/ 160422 h 35092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212149" h="350922">
              <a:moveTo>
                <a:pt x="10959" y="350922"/>
              </a:moveTo>
              <a:cubicBezTo>
                <a:pt x="20985" y="334211"/>
                <a:pt x="32323" y="318220"/>
                <a:pt x="41038" y="300790"/>
              </a:cubicBezTo>
              <a:cubicBezTo>
                <a:pt x="51314" y="280237"/>
                <a:pt x="57277" y="239646"/>
                <a:pt x="61090" y="220579"/>
              </a:cubicBezTo>
              <a:cubicBezTo>
                <a:pt x="54406" y="157079"/>
                <a:pt x="60083" y="91023"/>
                <a:pt x="41038" y="30079"/>
              </a:cubicBezTo>
              <a:cubicBezTo>
                <a:pt x="32959" y="4227"/>
                <a:pt x="-6525" y="93966"/>
                <a:pt x="932" y="90237"/>
              </a:cubicBezTo>
              <a:cubicBezTo>
                <a:pt x="15878" y="82764"/>
                <a:pt x="21298" y="63730"/>
                <a:pt x="31011" y="50132"/>
              </a:cubicBezTo>
              <a:cubicBezTo>
                <a:pt x="61394" y="7596"/>
                <a:pt x="37392" y="29168"/>
                <a:pt x="81143" y="0"/>
              </a:cubicBezTo>
              <a:cubicBezTo>
                <a:pt x="87827" y="13369"/>
                <a:pt x="91627" y="28624"/>
                <a:pt x="101195" y="40106"/>
              </a:cubicBezTo>
              <a:cubicBezTo>
                <a:pt x="108909" y="49363"/>
                <a:pt x="122268" y="52152"/>
                <a:pt x="131274" y="60158"/>
              </a:cubicBezTo>
              <a:cubicBezTo>
                <a:pt x="155187" y="81414"/>
                <a:pt x="194723" y="116871"/>
                <a:pt x="211485" y="150395"/>
              </a:cubicBezTo>
              <a:cubicBezTo>
                <a:pt x="212980" y="153384"/>
                <a:pt x="211485" y="157080"/>
                <a:pt x="211485" y="160422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110289</xdr:colOff>
      <xdr:row>66</xdr:row>
      <xdr:rowOff>119792</xdr:rowOff>
    </xdr:from>
    <xdr:to>
      <xdr:col>28</xdr:col>
      <xdr:colOff>461210</xdr:colOff>
      <xdr:row>67</xdr:row>
      <xdr:rowOff>100263</xdr:rowOff>
    </xdr:to>
    <xdr:sp macro="" textlink="">
      <xdr:nvSpPr>
        <xdr:cNvPr id="14" name="Freeform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23030447" y="13354529"/>
          <a:ext cx="350921" cy="180997"/>
        </a:xfrm>
        <a:custGeom>
          <a:avLst/>
          <a:gdLst>
            <a:gd name="connsiteX0" fmla="*/ 350921 w 350921"/>
            <a:gd name="connsiteY0" fmla="*/ 60682 h 180997"/>
            <a:gd name="connsiteX1" fmla="*/ 300790 w 350921"/>
            <a:gd name="connsiteY1" fmla="*/ 70708 h 180997"/>
            <a:gd name="connsiteX2" fmla="*/ 240632 w 350921"/>
            <a:gd name="connsiteY2" fmla="*/ 90760 h 180997"/>
            <a:gd name="connsiteX3" fmla="*/ 30079 w 350921"/>
            <a:gd name="connsiteY3" fmla="*/ 80734 h 180997"/>
            <a:gd name="connsiteX4" fmla="*/ 50132 w 350921"/>
            <a:gd name="connsiteY4" fmla="*/ 50655 h 180997"/>
            <a:gd name="connsiteX5" fmla="*/ 80211 w 350921"/>
            <a:gd name="connsiteY5" fmla="*/ 30603 h 180997"/>
            <a:gd name="connsiteX6" fmla="*/ 110290 w 350921"/>
            <a:gd name="connsiteY6" fmla="*/ 524 h 180997"/>
            <a:gd name="connsiteX7" fmla="*/ 50132 w 350921"/>
            <a:gd name="connsiteY7" fmla="*/ 40629 h 180997"/>
            <a:gd name="connsiteX8" fmla="*/ 20053 w 350921"/>
            <a:gd name="connsiteY8" fmla="*/ 60682 h 180997"/>
            <a:gd name="connsiteX9" fmla="*/ 0 w 350921"/>
            <a:gd name="connsiteY9" fmla="*/ 90760 h 180997"/>
            <a:gd name="connsiteX10" fmla="*/ 20053 w 350921"/>
            <a:gd name="connsiteY10" fmla="*/ 130866 h 180997"/>
            <a:gd name="connsiteX11" fmla="*/ 60158 w 350921"/>
            <a:gd name="connsiteY11" fmla="*/ 180997 h 1809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50921" h="180997">
              <a:moveTo>
                <a:pt x="350921" y="60682"/>
              </a:moveTo>
              <a:cubicBezTo>
                <a:pt x="334211" y="64024"/>
                <a:pt x="317231" y="66224"/>
                <a:pt x="300790" y="70708"/>
              </a:cubicBezTo>
              <a:cubicBezTo>
                <a:pt x="280397" y="76269"/>
                <a:pt x="240632" y="90760"/>
                <a:pt x="240632" y="90760"/>
              </a:cubicBezTo>
              <a:cubicBezTo>
                <a:pt x="170448" y="87418"/>
                <a:pt x="98836" y="95209"/>
                <a:pt x="30079" y="80734"/>
              </a:cubicBezTo>
              <a:cubicBezTo>
                <a:pt x="18287" y="78252"/>
                <a:pt x="41611" y="59176"/>
                <a:pt x="50132" y="50655"/>
              </a:cubicBezTo>
              <a:cubicBezTo>
                <a:pt x="58653" y="42134"/>
                <a:pt x="70954" y="38317"/>
                <a:pt x="80211" y="30603"/>
              </a:cubicBezTo>
              <a:cubicBezTo>
                <a:pt x="91104" y="21526"/>
                <a:pt x="123742" y="-3960"/>
                <a:pt x="110290" y="524"/>
              </a:cubicBezTo>
              <a:cubicBezTo>
                <a:pt x="87426" y="8145"/>
                <a:pt x="70185" y="27261"/>
                <a:pt x="50132" y="40629"/>
              </a:cubicBezTo>
              <a:lnTo>
                <a:pt x="20053" y="60682"/>
              </a:lnTo>
              <a:cubicBezTo>
                <a:pt x="13369" y="70708"/>
                <a:pt x="0" y="78710"/>
                <a:pt x="0" y="90760"/>
              </a:cubicBezTo>
              <a:cubicBezTo>
                <a:pt x="0" y="105707"/>
                <a:pt x="12131" y="118191"/>
                <a:pt x="20053" y="130866"/>
              </a:cubicBezTo>
              <a:cubicBezTo>
                <a:pt x="38339" y="160123"/>
                <a:pt x="42454" y="163293"/>
                <a:pt x="60158" y="18099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762000</xdr:colOff>
      <xdr:row>62</xdr:row>
      <xdr:rowOff>120315</xdr:rowOff>
    </xdr:from>
    <xdr:to>
      <xdr:col>28</xdr:col>
      <xdr:colOff>411079</xdr:colOff>
      <xdr:row>65</xdr:row>
      <xdr:rowOff>170447</xdr:rowOff>
    </xdr:to>
    <xdr:sp macro="" textlink="">
      <xdr:nvSpPr>
        <xdr:cNvPr id="15" name="Freeform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22900105" y="12552947"/>
          <a:ext cx="431132" cy="651711"/>
        </a:xfrm>
        <a:custGeom>
          <a:avLst/>
          <a:gdLst>
            <a:gd name="connsiteX0" fmla="*/ 431132 w 431132"/>
            <a:gd name="connsiteY0" fmla="*/ 651711 h 651711"/>
            <a:gd name="connsiteX1" fmla="*/ 411079 w 431132"/>
            <a:gd name="connsiteY1" fmla="*/ 601579 h 651711"/>
            <a:gd name="connsiteX2" fmla="*/ 401053 w 431132"/>
            <a:gd name="connsiteY2" fmla="*/ 571500 h 651711"/>
            <a:gd name="connsiteX3" fmla="*/ 381000 w 431132"/>
            <a:gd name="connsiteY3" fmla="*/ 541421 h 651711"/>
            <a:gd name="connsiteX4" fmla="*/ 360948 w 431132"/>
            <a:gd name="connsiteY4" fmla="*/ 461211 h 651711"/>
            <a:gd name="connsiteX5" fmla="*/ 350921 w 431132"/>
            <a:gd name="connsiteY5" fmla="*/ 431132 h 651711"/>
            <a:gd name="connsiteX6" fmla="*/ 330869 w 431132"/>
            <a:gd name="connsiteY6" fmla="*/ 340895 h 651711"/>
            <a:gd name="connsiteX7" fmla="*/ 260684 w 431132"/>
            <a:gd name="connsiteY7" fmla="*/ 240632 h 651711"/>
            <a:gd name="connsiteX8" fmla="*/ 200527 w 431132"/>
            <a:gd name="connsiteY8" fmla="*/ 180474 h 651711"/>
            <a:gd name="connsiteX9" fmla="*/ 170448 w 431132"/>
            <a:gd name="connsiteY9" fmla="*/ 160421 h 651711"/>
            <a:gd name="connsiteX10" fmla="*/ 140369 w 431132"/>
            <a:gd name="connsiteY10" fmla="*/ 100264 h 651711"/>
            <a:gd name="connsiteX11" fmla="*/ 110290 w 431132"/>
            <a:gd name="connsiteY11" fmla="*/ 90237 h 651711"/>
            <a:gd name="connsiteX12" fmla="*/ 60158 w 431132"/>
            <a:gd name="connsiteY12" fmla="*/ 40106 h 651711"/>
            <a:gd name="connsiteX13" fmla="*/ 0 w 431132"/>
            <a:gd name="connsiteY13" fmla="*/ 0 h 651711"/>
            <a:gd name="connsiteX14" fmla="*/ 10027 w 431132"/>
            <a:gd name="connsiteY14" fmla="*/ 30079 h 651711"/>
            <a:gd name="connsiteX15" fmla="*/ 30079 w 431132"/>
            <a:gd name="connsiteY15" fmla="*/ 60158 h 651711"/>
            <a:gd name="connsiteX16" fmla="*/ 40106 w 431132"/>
            <a:gd name="connsiteY16" fmla="*/ 110290 h 651711"/>
            <a:gd name="connsiteX17" fmla="*/ 50132 w 431132"/>
            <a:gd name="connsiteY17" fmla="*/ 140369 h 651711"/>
            <a:gd name="connsiteX18" fmla="*/ 60158 w 431132"/>
            <a:gd name="connsiteY18" fmla="*/ 180474 h 651711"/>
            <a:gd name="connsiteX19" fmla="*/ 70184 w 431132"/>
            <a:gd name="connsiteY19" fmla="*/ 140369 h 651711"/>
            <a:gd name="connsiteX20" fmla="*/ 110290 w 431132"/>
            <a:gd name="connsiteY20" fmla="*/ 70185 h 651711"/>
            <a:gd name="connsiteX21" fmla="*/ 120316 w 431132"/>
            <a:gd name="connsiteY21" fmla="*/ 40106 h 651711"/>
            <a:gd name="connsiteX22" fmla="*/ 180474 w 431132"/>
            <a:gd name="connsiteY22" fmla="*/ 70185 h 651711"/>
            <a:gd name="connsiteX23" fmla="*/ 220579 w 431132"/>
            <a:gd name="connsiteY23" fmla="*/ 130342 h 651711"/>
            <a:gd name="connsiteX24" fmla="*/ 260684 w 431132"/>
            <a:gd name="connsiteY24" fmla="*/ 180474 h 6517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</a:cxnLst>
          <a:rect l="l" t="t" r="r" b="b"/>
          <a:pathLst>
            <a:path w="431132" h="651711">
              <a:moveTo>
                <a:pt x="431132" y="651711"/>
              </a:moveTo>
              <a:cubicBezTo>
                <a:pt x="424448" y="635000"/>
                <a:pt x="417398" y="618431"/>
                <a:pt x="411079" y="601579"/>
              </a:cubicBezTo>
              <a:cubicBezTo>
                <a:pt x="407368" y="591683"/>
                <a:pt x="405779" y="580953"/>
                <a:pt x="401053" y="571500"/>
              </a:cubicBezTo>
              <a:cubicBezTo>
                <a:pt x="395664" y="560722"/>
                <a:pt x="387684" y="551447"/>
                <a:pt x="381000" y="541421"/>
              </a:cubicBezTo>
              <a:cubicBezTo>
                <a:pt x="358079" y="472655"/>
                <a:pt x="385150" y="558017"/>
                <a:pt x="360948" y="461211"/>
              </a:cubicBezTo>
              <a:cubicBezTo>
                <a:pt x="358385" y="450958"/>
                <a:pt x="354263" y="441158"/>
                <a:pt x="350921" y="431132"/>
              </a:cubicBezTo>
              <a:cubicBezTo>
                <a:pt x="348201" y="414812"/>
                <a:pt x="342622" y="362050"/>
                <a:pt x="330869" y="340895"/>
              </a:cubicBezTo>
              <a:cubicBezTo>
                <a:pt x="323717" y="328022"/>
                <a:pt x="275947" y="257591"/>
                <a:pt x="260684" y="240632"/>
              </a:cubicBezTo>
              <a:cubicBezTo>
                <a:pt x="241713" y="219553"/>
                <a:pt x="224123" y="196205"/>
                <a:pt x="200527" y="180474"/>
              </a:cubicBezTo>
              <a:lnTo>
                <a:pt x="170448" y="160421"/>
              </a:lnTo>
              <a:cubicBezTo>
                <a:pt x="163843" y="140607"/>
                <a:pt x="158037" y="114399"/>
                <a:pt x="140369" y="100264"/>
              </a:cubicBezTo>
              <a:cubicBezTo>
                <a:pt x="132116" y="93662"/>
                <a:pt x="120316" y="93579"/>
                <a:pt x="110290" y="90237"/>
              </a:cubicBezTo>
              <a:cubicBezTo>
                <a:pt x="73525" y="35091"/>
                <a:pt x="110291" y="81883"/>
                <a:pt x="60158" y="40106"/>
              </a:cubicBezTo>
              <a:cubicBezTo>
                <a:pt x="10087" y="-1620"/>
                <a:pt x="52862" y="17622"/>
                <a:pt x="0" y="0"/>
              </a:cubicBezTo>
              <a:cubicBezTo>
                <a:pt x="3342" y="10026"/>
                <a:pt x="5301" y="20626"/>
                <a:pt x="10027" y="30079"/>
              </a:cubicBezTo>
              <a:cubicBezTo>
                <a:pt x="15416" y="40857"/>
                <a:pt x="25848" y="48875"/>
                <a:pt x="30079" y="60158"/>
              </a:cubicBezTo>
              <a:cubicBezTo>
                <a:pt x="36063" y="76115"/>
                <a:pt x="35973" y="93757"/>
                <a:pt x="40106" y="110290"/>
              </a:cubicBezTo>
              <a:cubicBezTo>
                <a:pt x="42669" y="120543"/>
                <a:pt x="47229" y="130207"/>
                <a:pt x="50132" y="140369"/>
              </a:cubicBezTo>
              <a:cubicBezTo>
                <a:pt x="53917" y="153619"/>
                <a:pt x="56816" y="167106"/>
                <a:pt x="60158" y="180474"/>
              </a:cubicBezTo>
              <a:cubicBezTo>
                <a:pt x="63500" y="167106"/>
                <a:pt x="65346" y="153271"/>
                <a:pt x="70184" y="140369"/>
              </a:cubicBezTo>
              <a:cubicBezTo>
                <a:pt x="81087" y="111294"/>
                <a:pt x="93668" y="95118"/>
                <a:pt x="110290" y="70185"/>
              </a:cubicBezTo>
              <a:cubicBezTo>
                <a:pt x="113632" y="60159"/>
                <a:pt x="110863" y="44833"/>
                <a:pt x="120316" y="40106"/>
              </a:cubicBezTo>
              <a:cubicBezTo>
                <a:pt x="132177" y="34175"/>
                <a:pt x="175408" y="66808"/>
                <a:pt x="180474" y="70185"/>
              </a:cubicBezTo>
              <a:cubicBezTo>
                <a:pt x="193842" y="90237"/>
                <a:pt x="203538" y="113301"/>
                <a:pt x="220579" y="130342"/>
              </a:cubicBezTo>
              <a:cubicBezTo>
                <a:pt x="255942" y="165705"/>
                <a:pt x="244317" y="147738"/>
                <a:pt x="260684" y="180474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160421</xdr:colOff>
      <xdr:row>57</xdr:row>
      <xdr:rowOff>130120</xdr:rowOff>
    </xdr:from>
    <xdr:to>
      <xdr:col>42</xdr:col>
      <xdr:colOff>310815</xdr:colOff>
      <xdr:row>60</xdr:row>
      <xdr:rowOff>50132</xdr:rowOff>
    </xdr:to>
    <xdr:sp macro="" textlink="">
      <xdr:nvSpPr>
        <xdr:cNvPr id="16" name="Freeform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30891079" y="11560120"/>
          <a:ext cx="1313447" cy="521591"/>
        </a:xfrm>
        <a:custGeom>
          <a:avLst/>
          <a:gdLst>
            <a:gd name="connsiteX0" fmla="*/ 0 w 1313447"/>
            <a:gd name="connsiteY0" fmla="*/ 10248 h 521591"/>
            <a:gd name="connsiteX1" fmla="*/ 60158 w 1313447"/>
            <a:gd name="connsiteY1" fmla="*/ 222 h 521591"/>
            <a:gd name="connsiteX2" fmla="*/ 150395 w 1313447"/>
            <a:gd name="connsiteY2" fmla="*/ 40327 h 521591"/>
            <a:gd name="connsiteX3" fmla="*/ 190500 w 1313447"/>
            <a:gd name="connsiteY3" fmla="*/ 50354 h 521591"/>
            <a:gd name="connsiteX4" fmla="*/ 381000 w 1313447"/>
            <a:gd name="connsiteY4" fmla="*/ 80433 h 521591"/>
            <a:gd name="connsiteX5" fmla="*/ 631658 w 1313447"/>
            <a:gd name="connsiteY5" fmla="*/ 130564 h 521591"/>
            <a:gd name="connsiteX6" fmla="*/ 882316 w 1313447"/>
            <a:gd name="connsiteY6" fmla="*/ 210775 h 521591"/>
            <a:gd name="connsiteX7" fmla="*/ 992605 w 1313447"/>
            <a:gd name="connsiteY7" fmla="*/ 260906 h 521591"/>
            <a:gd name="connsiteX8" fmla="*/ 1153026 w 1313447"/>
            <a:gd name="connsiteY8" fmla="*/ 311038 h 521591"/>
            <a:gd name="connsiteX9" fmla="*/ 1203158 w 1313447"/>
            <a:gd name="connsiteY9" fmla="*/ 331091 h 521591"/>
            <a:gd name="connsiteX10" fmla="*/ 1233237 w 1313447"/>
            <a:gd name="connsiteY10" fmla="*/ 341117 h 521591"/>
            <a:gd name="connsiteX11" fmla="*/ 1183105 w 1313447"/>
            <a:gd name="connsiteY11" fmla="*/ 280959 h 521591"/>
            <a:gd name="connsiteX12" fmla="*/ 1193132 w 1313447"/>
            <a:gd name="connsiteY12" fmla="*/ 240854 h 521591"/>
            <a:gd name="connsiteX13" fmla="*/ 1243263 w 1313447"/>
            <a:gd name="connsiteY13" fmla="*/ 301012 h 521591"/>
            <a:gd name="connsiteX14" fmla="*/ 1313447 w 1313447"/>
            <a:gd name="connsiteY14" fmla="*/ 391248 h 521591"/>
            <a:gd name="connsiteX15" fmla="*/ 1183105 w 1313447"/>
            <a:gd name="connsiteY15" fmla="*/ 401275 h 521591"/>
            <a:gd name="connsiteX16" fmla="*/ 1153026 w 1313447"/>
            <a:gd name="connsiteY16" fmla="*/ 411301 h 521591"/>
            <a:gd name="connsiteX17" fmla="*/ 1112921 w 1313447"/>
            <a:gd name="connsiteY17" fmla="*/ 421327 h 521591"/>
            <a:gd name="connsiteX18" fmla="*/ 992605 w 1313447"/>
            <a:gd name="connsiteY18" fmla="*/ 461433 h 521591"/>
            <a:gd name="connsiteX19" fmla="*/ 852237 w 1313447"/>
            <a:gd name="connsiteY19" fmla="*/ 501538 h 521591"/>
            <a:gd name="connsiteX20" fmla="*/ 782053 w 1313447"/>
            <a:gd name="connsiteY20" fmla="*/ 521591 h 521591"/>
            <a:gd name="connsiteX21" fmla="*/ 822158 w 1313447"/>
            <a:gd name="connsiteY21" fmla="*/ 491512 h 521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313447" h="521591">
              <a:moveTo>
                <a:pt x="0" y="10248"/>
              </a:moveTo>
              <a:cubicBezTo>
                <a:pt x="20053" y="6906"/>
                <a:pt x="39899" y="-1466"/>
                <a:pt x="60158" y="222"/>
              </a:cubicBezTo>
              <a:cubicBezTo>
                <a:pt x="137566" y="6673"/>
                <a:pt x="99412" y="18477"/>
                <a:pt x="150395" y="40327"/>
              </a:cubicBezTo>
              <a:cubicBezTo>
                <a:pt x="163061" y="45755"/>
                <a:pt x="176924" y="47993"/>
                <a:pt x="190500" y="50354"/>
              </a:cubicBezTo>
              <a:cubicBezTo>
                <a:pt x="253836" y="61369"/>
                <a:pt x="317534" y="70197"/>
                <a:pt x="381000" y="80433"/>
              </a:cubicBezTo>
              <a:cubicBezTo>
                <a:pt x="467438" y="94374"/>
                <a:pt x="547087" y="106083"/>
                <a:pt x="631658" y="130564"/>
              </a:cubicBezTo>
              <a:cubicBezTo>
                <a:pt x="715925" y="154957"/>
                <a:pt x="802453" y="174474"/>
                <a:pt x="882316" y="210775"/>
              </a:cubicBezTo>
              <a:cubicBezTo>
                <a:pt x="919079" y="227485"/>
                <a:pt x="955111" y="245908"/>
                <a:pt x="992605" y="260906"/>
              </a:cubicBezTo>
              <a:cubicBezTo>
                <a:pt x="1086309" y="298387"/>
                <a:pt x="1067409" y="282498"/>
                <a:pt x="1153026" y="311038"/>
              </a:cubicBezTo>
              <a:cubicBezTo>
                <a:pt x="1170100" y="316730"/>
                <a:pt x="1186306" y="324772"/>
                <a:pt x="1203158" y="331091"/>
              </a:cubicBezTo>
              <a:cubicBezTo>
                <a:pt x="1213054" y="334802"/>
                <a:pt x="1223211" y="337775"/>
                <a:pt x="1233237" y="341117"/>
              </a:cubicBezTo>
              <a:cubicBezTo>
                <a:pt x="1214349" y="322229"/>
                <a:pt x="1194272" y="306084"/>
                <a:pt x="1183105" y="280959"/>
              </a:cubicBezTo>
              <a:cubicBezTo>
                <a:pt x="1147938" y="201833"/>
                <a:pt x="1151910" y="213372"/>
                <a:pt x="1193132" y="240854"/>
              </a:cubicBezTo>
              <a:cubicBezTo>
                <a:pt x="1264773" y="348320"/>
                <a:pt x="1153213" y="185234"/>
                <a:pt x="1243263" y="301012"/>
              </a:cubicBezTo>
              <a:cubicBezTo>
                <a:pt x="1327211" y="408945"/>
                <a:pt x="1245159" y="322960"/>
                <a:pt x="1313447" y="391248"/>
              </a:cubicBezTo>
              <a:cubicBezTo>
                <a:pt x="1270000" y="394590"/>
                <a:pt x="1226344" y="395870"/>
                <a:pt x="1183105" y="401275"/>
              </a:cubicBezTo>
              <a:cubicBezTo>
                <a:pt x="1172618" y="402586"/>
                <a:pt x="1163188" y="408398"/>
                <a:pt x="1153026" y="411301"/>
              </a:cubicBezTo>
              <a:cubicBezTo>
                <a:pt x="1139776" y="415086"/>
                <a:pt x="1126073" y="417217"/>
                <a:pt x="1112921" y="421327"/>
              </a:cubicBezTo>
              <a:cubicBezTo>
                <a:pt x="1072571" y="433937"/>
                <a:pt x="1033253" y="449819"/>
                <a:pt x="992605" y="461433"/>
              </a:cubicBezTo>
              <a:cubicBezTo>
                <a:pt x="945816" y="474801"/>
                <a:pt x="899446" y="489736"/>
                <a:pt x="852237" y="501538"/>
              </a:cubicBezTo>
              <a:cubicBezTo>
                <a:pt x="801879" y="514127"/>
                <a:pt x="825205" y="507206"/>
                <a:pt x="782053" y="521591"/>
              </a:cubicBezTo>
              <a:cubicBezTo>
                <a:pt x="814495" y="489149"/>
                <a:pt x="797953" y="491512"/>
                <a:pt x="822158" y="491512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451184</xdr:colOff>
      <xdr:row>56</xdr:row>
      <xdr:rowOff>70184</xdr:rowOff>
    </xdr:from>
    <xdr:to>
      <xdr:col>43</xdr:col>
      <xdr:colOff>280737</xdr:colOff>
      <xdr:row>56</xdr:row>
      <xdr:rowOff>160421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30600316" y="11299658"/>
          <a:ext cx="2155658" cy="9023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310816</xdr:colOff>
      <xdr:row>55</xdr:row>
      <xdr:rowOff>50132</xdr:rowOff>
    </xdr:from>
    <xdr:to>
      <xdr:col>40</xdr:col>
      <xdr:colOff>551447</xdr:colOff>
      <xdr:row>58</xdr:row>
      <xdr:rowOff>20053</xdr:rowOff>
    </xdr:to>
    <xdr:sp macro="" textlink="">
      <xdr:nvSpPr>
        <xdr:cNvPr id="18" name="Curved Right Arrow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31041474" y="11079079"/>
          <a:ext cx="240631" cy="57150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71"/>
  <sheetViews>
    <sheetView topLeftCell="R43" zoomScale="120" zoomScaleNormal="120" workbookViewId="0">
      <selection activeCell="J51" sqref="J51"/>
    </sheetView>
  </sheetViews>
  <sheetFormatPr defaultRowHeight="15.75" x14ac:dyDescent="0.25"/>
  <cols>
    <col min="1" max="1" width="5.140625" style="6" customWidth="1"/>
    <col min="2" max="2" width="32.28515625" style="6" customWidth="1"/>
    <col min="3" max="5" width="15.7109375" style="6" customWidth="1"/>
    <col min="6" max="8" width="9.140625" style="6"/>
    <col min="9" max="15" width="9.7109375" style="6" customWidth="1"/>
    <col min="16" max="16" width="10.85546875" style="6" customWidth="1"/>
    <col min="17" max="24" width="9.7109375" style="6" customWidth="1"/>
    <col min="25" max="25" width="11.42578125" style="6" customWidth="1"/>
    <col min="26" max="30" width="9.7109375" style="6" customWidth="1"/>
    <col min="31" max="16384" width="9.140625" style="6"/>
  </cols>
  <sheetData>
    <row r="1" spans="1:16" x14ac:dyDescent="0.25">
      <c r="A1" s="7" t="s">
        <v>0</v>
      </c>
      <c r="I1" s="3"/>
      <c r="J1" s="3"/>
      <c r="K1" s="3"/>
      <c r="L1" s="3"/>
      <c r="M1" s="3"/>
      <c r="N1" s="3"/>
      <c r="O1" s="3"/>
      <c r="P1" s="3"/>
    </row>
    <row r="2" spans="1:16" x14ac:dyDescent="0.25">
      <c r="A2" s="6" t="s">
        <v>1</v>
      </c>
      <c r="C2" s="191" t="s">
        <v>2</v>
      </c>
      <c r="D2" s="2">
        <v>25</v>
      </c>
      <c r="E2" s="3" t="s">
        <v>3</v>
      </c>
      <c r="O2" s="3"/>
      <c r="P2" s="3"/>
    </row>
    <row r="3" spans="1:16" x14ac:dyDescent="0.25">
      <c r="A3" s="6" t="s">
        <v>6</v>
      </c>
      <c r="C3" s="191" t="s">
        <v>7</v>
      </c>
      <c r="D3" s="2">
        <v>240</v>
      </c>
      <c r="E3" s="3" t="s">
        <v>3</v>
      </c>
      <c r="F3" s="3"/>
      <c r="G3" s="3"/>
      <c r="H3" s="3"/>
      <c r="O3" s="3"/>
      <c r="P3" s="3"/>
    </row>
    <row r="4" spans="1:16" x14ac:dyDescent="0.25">
      <c r="A4" s="6" t="s">
        <v>26</v>
      </c>
      <c r="C4" s="191" t="s">
        <v>4</v>
      </c>
      <c r="D4" s="2">
        <v>0.85</v>
      </c>
      <c r="E4" s="145" t="s">
        <v>5</v>
      </c>
      <c r="F4" s="3"/>
      <c r="G4" s="3"/>
      <c r="H4" s="3"/>
      <c r="O4" s="3" t="s">
        <v>566</v>
      </c>
      <c r="P4" s="3"/>
    </row>
    <row r="5" spans="1:16" x14ac:dyDescent="0.25">
      <c r="I5" s="3"/>
      <c r="J5" s="3"/>
      <c r="K5" s="3"/>
      <c r="L5" s="3"/>
      <c r="M5" s="3"/>
      <c r="N5" s="3"/>
      <c r="O5" s="3" t="s">
        <v>567</v>
      </c>
      <c r="P5" s="3"/>
    </row>
    <row r="6" spans="1:16" x14ac:dyDescent="0.25">
      <c r="A6" s="7" t="s">
        <v>8</v>
      </c>
      <c r="I6" s="145" t="s">
        <v>9</v>
      </c>
      <c r="J6" s="3"/>
      <c r="K6" s="3"/>
      <c r="L6" s="3"/>
      <c r="M6" s="3"/>
      <c r="N6" s="3"/>
      <c r="O6" s="3"/>
      <c r="P6" s="3"/>
    </row>
    <row r="7" spans="1:16" x14ac:dyDescent="0.25">
      <c r="I7" s="443" t="s">
        <v>10</v>
      </c>
      <c r="J7" s="191" t="s">
        <v>11</v>
      </c>
      <c r="K7" s="191" t="s">
        <v>12</v>
      </c>
      <c r="L7" s="191" t="s">
        <v>30</v>
      </c>
      <c r="M7" s="191" t="s">
        <v>13</v>
      </c>
      <c r="N7" s="191" t="s">
        <v>14</v>
      </c>
      <c r="O7" s="191" t="s">
        <v>15</v>
      </c>
      <c r="P7" s="191" t="s">
        <v>16</v>
      </c>
    </row>
    <row r="8" spans="1:16" x14ac:dyDescent="0.25">
      <c r="I8" s="444"/>
      <c r="J8" s="191" t="s">
        <v>17</v>
      </c>
      <c r="K8" s="191" t="s">
        <v>17</v>
      </c>
      <c r="L8" s="191" t="s">
        <v>17</v>
      </c>
      <c r="M8" s="191" t="s">
        <v>18</v>
      </c>
      <c r="N8" s="191" t="s">
        <v>17</v>
      </c>
      <c r="O8" s="191" t="s">
        <v>17</v>
      </c>
      <c r="P8" s="191" t="s">
        <v>17</v>
      </c>
    </row>
    <row r="9" spans="1:16" x14ac:dyDescent="0.25">
      <c r="A9" s="6" t="s">
        <v>19</v>
      </c>
      <c r="I9" s="192" t="s">
        <v>158</v>
      </c>
      <c r="J9" s="171">
        <v>3</v>
      </c>
      <c r="K9" s="171">
        <v>1.5</v>
      </c>
      <c r="L9" s="171">
        <f>MAX(J9:K9)</f>
        <v>3</v>
      </c>
      <c r="M9" s="171">
        <f>J9/K9</f>
        <v>2</v>
      </c>
      <c r="N9" s="171">
        <f>((0.8+(D$3/1500))/(36+(9*D$4)))*L9</f>
        <v>6.5979381443298971E-2</v>
      </c>
      <c r="O9" s="171">
        <f t="shared" ref="O9:O15" si="0">((0.8+(D$3/1500))/(36))*L9</f>
        <v>0.08</v>
      </c>
      <c r="P9" s="171">
        <v>0.12</v>
      </c>
    </row>
    <row r="10" spans="1:16" x14ac:dyDescent="0.25">
      <c r="A10" s="6" t="s">
        <v>21</v>
      </c>
      <c r="I10" s="192" t="s">
        <v>114</v>
      </c>
      <c r="J10" s="171">
        <v>3.5</v>
      </c>
      <c r="K10" s="171">
        <v>3</v>
      </c>
      <c r="L10" s="171">
        <f t="shared" ref="L10:L15" si="1">MAX(J10:K10)</f>
        <v>3.5</v>
      </c>
      <c r="M10" s="171">
        <f t="shared" ref="M9:M15" si="2">J10/K10</f>
        <v>1.1666666666666667</v>
      </c>
      <c r="N10" s="171">
        <f t="shared" ref="N9:N15" si="3">((0.8+(D$3/1500))/(36+(9*D$4)))*L10</f>
        <v>7.6975945017182135E-2</v>
      </c>
      <c r="O10" s="171">
        <f t="shared" si="0"/>
        <v>9.3333333333333338E-2</v>
      </c>
      <c r="P10" s="171">
        <v>0.12</v>
      </c>
    </row>
    <row r="11" spans="1:16" x14ac:dyDescent="0.25">
      <c r="A11" s="6" t="s">
        <v>22</v>
      </c>
      <c r="C11" s="182" t="s">
        <v>23</v>
      </c>
      <c r="D11" s="6" t="s">
        <v>24</v>
      </c>
      <c r="E11" s="6" t="s">
        <v>25</v>
      </c>
      <c r="I11" s="192" t="s">
        <v>159</v>
      </c>
      <c r="J11" s="171">
        <v>3.5</v>
      </c>
      <c r="K11" s="171">
        <v>3.5</v>
      </c>
      <c r="L11" s="171">
        <f t="shared" si="1"/>
        <v>3.5</v>
      </c>
      <c r="M11" s="171">
        <f t="shared" si="2"/>
        <v>1</v>
      </c>
      <c r="N11" s="171">
        <f t="shared" si="3"/>
        <v>7.6975945017182135E-2</v>
      </c>
      <c r="O11" s="171">
        <f t="shared" si="0"/>
        <v>9.3333333333333338E-2</v>
      </c>
      <c r="P11" s="171">
        <v>0.12</v>
      </c>
    </row>
    <row r="12" spans="1:16" x14ac:dyDescent="0.25">
      <c r="A12" s="6" t="s">
        <v>26</v>
      </c>
      <c r="C12" s="182" t="s">
        <v>23</v>
      </c>
      <c r="D12" s="6" t="s">
        <v>27</v>
      </c>
      <c r="F12" s="6" t="s">
        <v>28</v>
      </c>
      <c r="I12" s="192" t="s">
        <v>111</v>
      </c>
      <c r="J12" s="171">
        <v>4</v>
      </c>
      <c r="K12" s="171">
        <v>1.7250000000000001</v>
      </c>
      <c r="L12" s="171">
        <f t="shared" si="1"/>
        <v>4</v>
      </c>
      <c r="M12" s="171">
        <f t="shared" si="2"/>
        <v>2.318840579710145</v>
      </c>
      <c r="N12" s="171">
        <f t="shared" si="3"/>
        <v>8.7972508591065299E-2</v>
      </c>
      <c r="O12" s="171">
        <f t="shared" si="0"/>
        <v>0.10666666666666667</v>
      </c>
      <c r="P12" s="171">
        <v>0.12</v>
      </c>
    </row>
    <row r="13" spans="1:16" x14ac:dyDescent="0.25">
      <c r="C13" s="182" t="s">
        <v>23</v>
      </c>
      <c r="D13" s="6" t="s">
        <v>29</v>
      </c>
      <c r="I13" s="192" t="s">
        <v>160</v>
      </c>
      <c r="J13" s="171">
        <v>3.5</v>
      </c>
      <c r="K13" s="171">
        <v>2</v>
      </c>
      <c r="L13" s="171">
        <f t="shared" si="1"/>
        <v>3.5</v>
      </c>
      <c r="M13" s="171">
        <f t="shared" si="2"/>
        <v>1.75</v>
      </c>
      <c r="N13" s="171">
        <f t="shared" si="3"/>
        <v>7.6975945017182135E-2</v>
      </c>
      <c r="O13" s="171">
        <f t="shared" si="0"/>
        <v>9.3333333333333338E-2</v>
      </c>
      <c r="P13" s="171">
        <v>0.12</v>
      </c>
    </row>
    <row r="14" spans="1:16" x14ac:dyDescent="0.25">
      <c r="I14" s="192" t="s">
        <v>161</v>
      </c>
      <c r="J14" s="171">
        <v>3.5</v>
      </c>
      <c r="K14" s="171">
        <v>1</v>
      </c>
      <c r="L14" s="171">
        <f t="shared" si="1"/>
        <v>3.5</v>
      </c>
      <c r="M14" s="171">
        <f t="shared" si="2"/>
        <v>3.5</v>
      </c>
      <c r="N14" s="171">
        <f t="shared" si="3"/>
        <v>7.6975945017182135E-2</v>
      </c>
      <c r="O14" s="171">
        <f t="shared" si="0"/>
        <v>9.3333333333333338E-2</v>
      </c>
      <c r="P14" s="171">
        <v>0.12</v>
      </c>
    </row>
    <row r="15" spans="1:16" x14ac:dyDescent="0.25">
      <c r="A15" s="7" t="s">
        <v>31</v>
      </c>
      <c r="I15" s="126" t="s">
        <v>241</v>
      </c>
      <c r="J15" s="171">
        <v>2.5</v>
      </c>
      <c r="K15" s="171">
        <v>2</v>
      </c>
      <c r="L15" s="171">
        <f t="shared" si="1"/>
        <v>2.5</v>
      </c>
      <c r="M15" s="171">
        <f t="shared" si="2"/>
        <v>1.25</v>
      </c>
      <c r="N15" s="171">
        <f t="shared" si="3"/>
        <v>5.4982817869415813E-2</v>
      </c>
      <c r="O15" s="171">
        <f t="shared" si="0"/>
        <v>6.6666666666666666E-2</v>
      </c>
      <c r="P15" s="171">
        <v>0.12</v>
      </c>
    </row>
    <row r="16" spans="1:16" x14ac:dyDescent="0.25">
      <c r="A16" s="6" t="s">
        <v>32</v>
      </c>
    </row>
    <row r="17" spans="1:5" x14ac:dyDescent="0.25">
      <c r="A17" s="1" t="s">
        <v>33</v>
      </c>
      <c r="B17" s="1" t="s">
        <v>34</v>
      </c>
      <c r="C17" s="1" t="s">
        <v>35</v>
      </c>
      <c r="D17" s="1" t="s">
        <v>36</v>
      </c>
      <c r="E17" s="1" t="s">
        <v>37</v>
      </c>
    </row>
    <row r="18" spans="1:5" x14ac:dyDescent="0.25">
      <c r="A18" s="2">
        <v>1</v>
      </c>
      <c r="B18" s="2" t="s">
        <v>38</v>
      </c>
      <c r="C18" s="2">
        <v>24</v>
      </c>
      <c r="D18" s="2">
        <v>0.12</v>
      </c>
      <c r="E18" s="2">
        <f>C18*D18</f>
        <v>2.88</v>
      </c>
    </row>
    <row r="19" spans="1:5" x14ac:dyDescent="0.25">
      <c r="A19" s="2">
        <v>2</v>
      </c>
      <c r="B19" s="2" t="s">
        <v>39</v>
      </c>
      <c r="C19" s="2">
        <v>21</v>
      </c>
      <c r="D19" s="2">
        <v>0.03</v>
      </c>
      <c r="E19" s="2">
        <f>C19*D19</f>
        <v>0.63</v>
      </c>
    </row>
    <row r="20" spans="1:5" x14ac:dyDescent="0.25">
      <c r="A20" s="2">
        <v>3</v>
      </c>
      <c r="B20" s="2" t="s">
        <v>40</v>
      </c>
      <c r="C20" s="2">
        <v>0.24</v>
      </c>
      <c r="D20" s="2" t="s">
        <v>41</v>
      </c>
      <c r="E20" s="2">
        <f>C20</f>
        <v>0.24</v>
      </c>
    </row>
    <row r="21" spans="1:5" x14ac:dyDescent="0.25">
      <c r="A21" s="2">
        <v>4</v>
      </c>
      <c r="B21" s="2" t="s">
        <v>42</v>
      </c>
      <c r="C21" s="2">
        <v>14</v>
      </c>
      <c r="D21" s="2">
        <v>0.03</v>
      </c>
      <c r="E21" s="2">
        <f>D21*C21</f>
        <v>0.42</v>
      </c>
    </row>
    <row r="22" spans="1:5" x14ac:dyDescent="0.25">
      <c r="A22" s="2">
        <v>5</v>
      </c>
      <c r="B22" s="2" t="s">
        <v>43</v>
      </c>
      <c r="C22" s="2">
        <f>0.11+0.08</f>
        <v>0.19</v>
      </c>
      <c r="D22" s="2" t="s">
        <v>41</v>
      </c>
      <c r="E22" s="2">
        <f>C22</f>
        <v>0.19</v>
      </c>
    </row>
    <row r="23" spans="1:5" x14ac:dyDescent="0.25">
      <c r="A23" s="428" t="s">
        <v>44</v>
      </c>
      <c r="B23" s="430"/>
      <c r="C23" s="428" t="s">
        <v>45</v>
      </c>
      <c r="D23" s="430"/>
      <c r="E23" s="2">
        <f>SUM(E18:E22)</f>
        <v>4.3600000000000003</v>
      </c>
    </row>
    <row r="25" spans="1:5" x14ac:dyDescent="0.25">
      <c r="A25" s="6" t="s">
        <v>46</v>
      </c>
    </row>
    <row r="26" spans="1:5" x14ac:dyDescent="0.25">
      <c r="A26" s="6" t="s">
        <v>47</v>
      </c>
      <c r="C26" s="6">
        <v>200</v>
      </c>
      <c r="D26" s="6" t="s">
        <v>48</v>
      </c>
    </row>
    <row r="27" spans="1:5" x14ac:dyDescent="0.25">
      <c r="B27" s="2" t="s">
        <v>142</v>
      </c>
      <c r="C27" s="172">
        <f>C26/100</f>
        <v>2</v>
      </c>
      <c r="D27" s="6" t="s">
        <v>49</v>
      </c>
    </row>
    <row r="29" spans="1:5" x14ac:dyDescent="0.25">
      <c r="A29" s="6" t="s">
        <v>50</v>
      </c>
    </row>
    <row r="30" spans="1:5" x14ac:dyDescent="0.25">
      <c r="A30" s="6" t="s">
        <v>51</v>
      </c>
    </row>
    <row r="31" spans="1:5" x14ac:dyDescent="0.25">
      <c r="B31" s="4" t="s">
        <v>52</v>
      </c>
      <c r="C31" s="4" t="s">
        <v>141</v>
      </c>
      <c r="D31" s="6" t="s">
        <v>49</v>
      </c>
    </row>
    <row r="32" spans="1:5" x14ac:dyDescent="0.25">
      <c r="B32" s="4" t="s">
        <v>52</v>
      </c>
      <c r="C32" s="173">
        <f>(1.2*E23)+(1.6*C27)</f>
        <v>8.4320000000000004</v>
      </c>
      <c r="D32" s="6" t="s">
        <v>49</v>
      </c>
    </row>
    <row r="34" spans="1:23" x14ac:dyDescent="0.25">
      <c r="A34" s="6" t="s">
        <v>53</v>
      </c>
    </row>
    <row r="36" spans="1:23" x14ac:dyDescent="0.25">
      <c r="A36" s="6" t="s">
        <v>67</v>
      </c>
      <c r="C36" s="2" t="s">
        <v>68</v>
      </c>
      <c r="D36" s="428" t="s">
        <v>69</v>
      </c>
      <c r="E36" s="430"/>
    </row>
    <row r="37" spans="1:23" x14ac:dyDescent="0.25">
      <c r="A37" s="6" t="s">
        <v>70</v>
      </c>
      <c r="C37" s="2" t="s">
        <v>71</v>
      </c>
      <c r="D37" s="428" t="s">
        <v>72</v>
      </c>
      <c r="E37" s="430"/>
      <c r="I37" s="6" t="s">
        <v>54</v>
      </c>
    </row>
    <row r="38" spans="1:23" x14ac:dyDescent="0.25">
      <c r="A38" s="6" t="s">
        <v>73</v>
      </c>
      <c r="C38" s="2" t="s">
        <v>74</v>
      </c>
      <c r="D38" s="428" t="s">
        <v>75</v>
      </c>
      <c r="E38" s="430"/>
      <c r="I38" s="426" t="s">
        <v>10</v>
      </c>
      <c r="J38" s="11" t="s">
        <v>55</v>
      </c>
      <c r="K38" s="11" t="s">
        <v>12</v>
      </c>
      <c r="L38" s="443" t="s">
        <v>56</v>
      </c>
      <c r="M38" s="426" t="s">
        <v>57</v>
      </c>
      <c r="N38" s="426" t="s">
        <v>58</v>
      </c>
      <c r="O38" s="426" t="s">
        <v>59</v>
      </c>
      <c r="P38" s="426" t="s">
        <v>60</v>
      </c>
      <c r="Q38" s="426" t="s">
        <v>61</v>
      </c>
      <c r="R38" s="426" t="s">
        <v>62</v>
      </c>
      <c r="S38" s="426" t="s">
        <v>63</v>
      </c>
      <c r="T38" s="426" t="s">
        <v>64</v>
      </c>
      <c r="U38" s="11" t="s">
        <v>65</v>
      </c>
      <c r="V38" s="435" t="s">
        <v>164</v>
      </c>
      <c r="W38" s="435"/>
    </row>
    <row r="39" spans="1:23" x14ac:dyDescent="0.25">
      <c r="A39" s="6" t="s">
        <v>76</v>
      </c>
      <c r="C39" s="2" t="s">
        <v>64</v>
      </c>
      <c r="D39" s="428" t="s">
        <v>77</v>
      </c>
      <c r="E39" s="430"/>
      <c r="I39" s="427"/>
      <c r="J39" s="14" t="s">
        <v>17</v>
      </c>
      <c r="K39" s="14" t="s">
        <v>17</v>
      </c>
      <c r="L39" s="444"/>
      <c r="M39" s="427"/>
      <c r="N39" s="427"/>
      <c r="O39" s="427"/>
      <c r="P39" s="427"/>
      <c r="Q39" s="427"/>
      <c r="R39" s="427"/>
      <c r="S39" s="427"/>
      <c r="T39" s="427"/>
      <c r="U39" s="14" t="s">
        <v>66</v>
      </c>
      <c r="V39" s="436" t="s">
        <v>66</v>
      </c>
      <c r="W39" s="436"/>
    </row>
    <row r="40" spans="1:23" x14ac:dyDescent="0.25">
      <c r="A40" s="6" t="s">
        <v>78</v>
      </c>
      <c r="I40" s="192" t="s">
        <v>158</v>
      </c>
      <c r="J40" s="171">
        <f>J9</f>
        <v>3</v>
      </c>
      <c r="K40" s="171">
        <f>K9</f>
        <v>1.5</v>
      </c>
      <c r="L40" s="174">
        <f>J40/K40</f>
        <v>2</v>
      </c>
      <c r="M40" s="2">
        <v>41</v>
      </c>
      <c r="N40" s="2">
        <v>12</v>
      </c>
      <c r="O40" s="2">
        <v>83</v>
      </c>
      <c r="P40" s="2">
        <v>57</v>
      </c>
      <c r="Q40" s="171">
        <f t="shared" ref="Q40:Q46" si="4">M40*0.001*C$32*K40*K40</f>
        <v>0.77785199999999999</v>
      </c>
      <c r="R40" s="171">
        <f t="shared" ref="R40:R46" si="5">N40*0.001*C$32*K40*K40</f>
        <v>0.22766400000000003</v>
      </c>
      <c r="S40" s="171">
        <f t="shared" ref="S40:S46" si="6">O40*0.001*C$32*K40*K40</f>
        <v>1.5746760000000002</v>
      </c>
      <c r="T40" s="171">
        <f t="shared" ref="T40:T46" si="7">P40*0.001*C$32*K40*K40</f>
        <v>1.081404</v>
      </c>
      <c r="U40" s="171">
        <f>S40</f>
        <v>1.5746760000000002</v>
      </c>
      <c r="V40" s="437">
        <f>MAX(U40:U46)</f>
        <v>5.3711840000000004</v>
      </c>
      <c r="W40" s="438"/>
    </row>
    <row r="41" spans="1:23" x14ac:dyDescent="0.25">
      <c r="I41" s="192" t="s">
        <v>114</v>
      </c>
      <c r="J41" s="171">
        <f t="shared" ref="J41:K45" si="8">J10</f>
        <v>3.5</v>
      </c>
      <c r="K41" s="171">
        <f t="shared" si="8"/>
        <v>3</v>
      </c>
      <c r="L41" s="174">
        <f t="shared" ref="L41:L46" si="9">J41/K41</f>
        <v>1.1666666666666667</v>
      </c>
      <c r="M41" s="2">
        <v>28</v>
      </c>
      <c r="N41" s="2">
        <v>20</v>
      </c>
      <c r="O41" s="2">
        <v>64</v>
      </c>
      <c r="P41" s="2">
        <v>56</v>
      </c>
      <c r="Q41" s="171">
        <f t="shared" si="4"/>
        <v>2.1248640000000001</v>
      </c>
      <c r="R41" s="171">
        <f t="shared" si="5"/>
        <v>1.51776</v>
      </c>
      <c r="S41" s="171">
        <f t="shared" si="6"/>
        <v>4.8568319999999998</v>
      </c>
      <c r="T41" s="171">
        <f t="shared" si="7"/>
        <v>4.2497280000000002</v>
      </c>
      <c r="U41" s="171">
        <f t="shared" ref="U41:U45" si="10">S41</f>
        <v>4.8568319999999998</v>
      </c>
      <c r="V41" s="439"/>
      <c r="W41" s="440"/>
    </row>
    <row r="42" spans="1:23" x14ac:dyDescent="0.25">
      <c r="A42" s="7" t="s">
        <v>79</v>
      </c>
      <c r="I42" s="192" t="s">
        <v>159</v>
      </c>
      <c r="J42" s="171">
        <f t="shared" si="8"/>
        <v>3.5</v>
      </c>
      <c r="K42" s="171">
        <f t="shared" si="8"/>
        <v>3.5</v>
      </c>
      <c r="L42" s="174">
        <f t="shared" si="9"/>
        <v>1</v>
      </c>
      <c r="M42" s="2">
        <v>21</v>
      </c>
      <c r="N42" s="2">
        <v>21</v>
      </c>
      <c r="O42" s="2">
        <v>52</v>
      </c>
      <c r="P42" s="2">
        <v>52</v>
      </c>
      <c r="Q42" s="171">
        <f t="shared" si="4"/>
        <v>2.1691320000000003</v>
      </c>
      <c r="R42" s="171">
        <f t="shared" si="5"/>
        <v>2.1691320000000003</v>
      </c>
      <c r="S42" s="171">
        <f t="shared" si="6"/>
        <v>5.3711840000000004</v>
      </c>
      <c r="T42" s="171">
        <f t="shared" si="7"/>
        <v>5.3711840000000004</v>
      </c>
      <c r="U42" s="171">
        <f t="shared" si="10"/>
        <v>5.3711840000000004</v>
      </c>
      <c r="V42" s="439"/>
      <c r="W42" s="440"/>
    </row>
    <row r="43" spans="1:23" x14ac:dyDescent="0.25">
      <c r="A43" s="6" t="s">
        <v>99</v>
      </c>
      <c r="I43" s="192" t="s">
        <v>111</v>
      </c>
      <c r="J43" s="171">
        <f t="shared" si="8"/>
        <v>4</v>
      </c>
      <c r="K43" s="171">
        <f t="shared" si="8"/>
        <v>1.7250000000000001</v>
      </c>
      <c r="L43" s="174">
        <f t="shared" si="9"/>
        <v>2.318840579710145</v>
      </c>
      <c r="M43" s="2">
        <v>42</v>
      </c>
      <c r="N43" s="2">
        <v>11</v>
      </c>
      <c r="O43" s="2">
        <v>83</v>
      </c>
      <c r="P43" s="2">
        <v>57</v>
      </c>
      <c r="Q43" s="171">
        <f t="shared" si="4"/>
        <v>1.0537997400000001</v>
      </c>
      <c r="R43" s="171">
        <f t="shared" si="5"/>
        <v>0.27599517000000001</v>
      </c>
      <c r="S43" s="171">
        <f t="shared" si="6"/>
        <v>2.0825090100000003</v>
      </c>
      <c r="T43" s="171">
        <f t="shared" si="7"/>
        <v>1.4301567900000003</v>
      </c>
      <c r="U43" s="171">
        <f t="shared" si="10"/>
        <v>2.0825090100000003</v>
      </c>
      <c r="V43" s="439"/>
      <c r="W43" s="440"/>
    </row>
    <row r="44" spans="1:23" x14ac:dyDescent="0.25">
      <c r="A44" s="6" t="s">
        <v>170</v>
      </c>
      <c r="C44" s="177" t="s">
        <v>83</v>
      </c>
      <c r="D44" s="428">
        <v>10</v>
      </c>
      <c r="E44" s="429"/>
      <c r="F44" s="430"/>
      <c r="I44" s="192" t="s">
        <v>160</v>
      </c>
      <c r="J44" s="171">
        <f t="shared" si="8"/>
        <v>3.5</v>
      </c>
      <c r="K44" s="171">
        <f t="shared" si="8"/>
        <v>2</v>
      </c>
      <c r="L44" s="174">
        <f t="shared" si="9"/>
        <v>1.75</v>
      </c>
      <c r="M44" s="2">
        <v>40</v>
      </c>
      <c r="N44" s="2">
        <v>13</v>
      </c>
      <c r="O44" s="2">
        <v>82</v>
      </c>
      <c r="P44" s="2">
        <v>57</v>
      </c>
      <c r="Q44" s="171">
        <f t="shared" si="4"/>
        <v>1.3491200000000001</v>
      </c>
      <c r="R44" s="171">
        <f t="shared" si="5"/>
        <v>0.43846400000000008</v>
      </c>
      <c r="S44" s="171">
        <f t="shared" si="6"/>
        <v>2.7656960000000002</v>
      </c>
      <c r="T44" s="171">
        <f t="shared" si="7"/>
        <v>1.9224960000000002</v>
      </c>
      <c r="U44" s="171">
        <f t="shared" si="10"/>
        <v>2.7656960000000002</v>
      </c>
      <c r="V44" s="439"/>
      <c r="W44" s="440"/>
    </row>
    <row r="45" spans="1:23" x14ac:dyDescent="0.25">
      <c r="A45" s="6" t="s">
        <v>103</v>
      </c>
      <c r="C45" s="2" t="s">
        <v>4</v>
      </c>
      <c r="D45" s="428">
        <f>D4</f>
        <v>0.85</v>
      </c>
      <c r="E45" s="429"/>
      <c r="F45" s="430"/>
      <c r="I45" s="192" t="s">
        <v>161</v>
      </c>
      <c r="J45" s="171">
        <f t="shared" si="8"/>
        <v>3.5</v>
      </c>
      <c r="K45" s="171">
        <f t="shared" si="8"/>
        <v>1</v>
      </c>
      <c r="L45" s="174">
        <f t="shared" si="9"/>
        <v>3.5</v>
      </c>
      <c r="M45" s="2">
        <v>42</v>
      </c>
      <c r="N45" s="2">
        <v>8</v>
      </c>
      <c r="O45" s="2">
        <v>83</v>
      </c>
      <c r="P45" s="2">
        <v>57</v>
      </c>
      <c r="Q45" s="171">
        <f t="shared" si="4"/>
        <v>0.35414400000000001</v>
      </c>
      <c r="R45" s="171">
        <f t="shared" si="5"/>
        <v>6.7456000000000002E-2</v>
      </c>
      <c r="S45" s="171">
        <f t="shared" si="6"/>
        <v>0.69985600000000003</v>
      </c>
      <c r="T45" s="171">
        <f t="shared" si="7"/>
        <v>0.48062400000000005</v>
      </c>
      <c r="U45" s="171">
        <f t="shared" si="10"/>
        <v>0.69985600000000003</v>
      </c>
      <c r="V45" s="439"/>
      <c r="W45" s="440"/>
    </row>
    <row r="46" spans="1:23" x14ac:dyDescent="0.25">
      <c r="A46" s="6" t="s">
        <v>104</v>
      </c>
      <c r="C46" s="2" t="s">
        <v>85</v>
      </c>
      <c r="D46" s="428" t="s">
        <v>143</v>
      </c>
      <c r="E46" s="429"/>
      <c r="F46" s="430"/>
      <c r="I46" s="192" t="s">
        <v>241</v>
      </c>
      <c r="J46" s="171">
        <f>J15</f>
        <v>2.5</v>
      </c>
      <c r="K46" s="171">
        <f>K15</f>
        <v>2</v>
      </c>
      <c r="L46" s="174">
        <f t="shared" si="9"/>
        <v>1.25</v>
      </c>
      <c r="M46" s="2">
        <v>31</v>
      </c>
      <c r="N46" s="2">
        <v>19</v>
      </c>
      <c r="O46" s="2">
        <v>69</v>
      </c>
      <c r="P46" s="2">
        <v>57</v>
      </c>
      <c r="Q46" s="171">
        <f t="shared" si="4"/>
        <v>1.0455680000000001</v>
      </c>
      <c r="R46" s="171">
        <f t="shared" si="5"/>
        <v>0.64083200000000007</v>
      </c>
      <c r="S46" s="171">
        <f t="shared" si="6"/>
        <v>2.3272320000000004</v>
      </c>
      <c r="T46" s="171">
        <f t="shared" si="7"/>
        <v>1.9224960000000002</v>
      </c>
      <c r="U46" s="171">
        <f t="shared" ref="U46" si="11">S46</f>
        <v>2.3272320000000004</v>
      </c>
      <c r="V46" s="441"/>
      <c r="W46" s="442"/>
    </row>
    <row r="47" spans="1:23" x14ac:dyDescent="0.25">
      <c r="A47" s="6" t="s">
        <v>105</v>
      </c>
      <c r="C47" s="2" t="s">
        <v>86</v>
      </c>
      <c r="D47" s="428">
        <v>0.8</v>
      </c>
      <c r="E47" s="429"/>
      <c r="F47" s="430"/>
    </row>
    <row r="48" spans="1:23" x14ac:dyDescent="0.25">
      <c r="A48" s="6" t="s">
        <v>106</v>
      </c>
      <c r="C48" s="2" t="s">
        <v>107</v>
      </c>
      <c r="D48" s="428" t="s">
        <v>108</v>
      </c>
      <c r="E48" s="429"/>
      <c r="F48" s="430"/>
      <c r="G48" s="6" t="s">
        <v>109</v>
      </c>
      <c r="I48" s="6" t="s">
        <v>80</v>
      </c>
    </row>
    <row r="49" spans="1:30" x14ac:dyDescent="0.25">
      <c r="A49" s="6" t="s">
        <v>110</v>
      </c>
      <c r="C49" s="2" t="s">
        <v>111</v>
      </c>
      <c r="D49" s="428" t="s">
        <v>112</v>
      </c>
      <c r="E49" s="429"/>
      <c r="F49" s="430"/>
      <c r="G49" s="6" t="s">
        <v>109</v>
      </c>
      <c r="I49" s="426" t="s">
        <v>81</v>
      </c>
      <c r="J49" s="11" t="s">
        <v>82</v>
      </c>
      <c r="K49" s="11" t="s">
        <v>83</v>
      </c>
      <c r="L49" s="11" t="s">
        <v>84</v>
      </c>
      <c r="M49" s="426" t="s">
        <v>4</v>
      </c>
      <c r="N49" s="426" t="s">
        <v>85</v>
      </c>
      <c r="O49" s="426" t="s">
        <v>86</v>
      </c>
      <c r="P49" s="11" t="s">
        <v>87</v>
      </c>
      <c r="Q49" s="11" t="s">
        <v>88</v>
      </c>
      <c r="R49" s="11" t="s">
        <v>89</v>
      </c>
      <c r="S49" s="11" t="s">
        <v>162</v>
      </c>
      <c r="T49" s="194" t="s">
        <v>169</v>
      </c>
      <c r="U49" s="11" t="s">
        <v>90</v>
      </c>
      <c r="V49" s="426" t="s">
        <v>91</v>
      </c>
      <c r="W49" s="426" t="s">
        <v>92</v>
      </c>
      <c r="X49" s="426" t="s">
        <v>93</v>
      </c>
      <c r="Y49" s="426" t="s">
        <v>94</v>
      </c>
      <c r="Z49" s="11" t="s">
        <v>95</v>
      </c>
      <c r="AA49" s="11" t="s">
        <v>96</v>
      </c>
      <c r="AB49" s="11" t="s">
        <v>145</v>
      </c>
      <c r="AC49" s="11" t="s">
        <v>97</v>
      </c>
      <c r="AD49" s="11" t="s">
        <v>98</v>
      </c>
    </row>
    <row r="50" spans="1:30" x14ac:dyDescent="0.25">
      <c r="A50" s="6" t="s">
        <v>113</v>
      </c>
      <c r="C50" s="2" t="s">
        <v>114</v>
      </c>
      <c r="D50" s="428">
        <v>1000</v>
      </c>
      <c r="E50" s="429"/>
      <c r="F50" s="430"/>
      <c r="G50" s="6" t="s">
        <v>109</v>
      </c>
      <c r="I50" s="427"/>
      <c r="J50" s="14" t="s">
        <v>100</v>
      </c>
      <c r="K50" s="14" t="s">
        <v>100</v>
      </c>
      <c r="L50" s="14" t="s">
        <v>100</v>
      </c>
      <c r="M50" s="427"/>
      <c r="N50" s="427"/>
      <c r="O50" s="427"/>
      <c r="P50" s="14" t="s">
        <v>100</v>
      </c>
      <c r="Q50" s="14" t="s">
        <v>100</v>
      </c>
      <c r="R50" s="14" t="s">
        <v>100</v>
      </c>
      <c r="S50" s="193" t="str">
        <f>U39</f>
        <v>(KNm/m)</v>
      </c>
      <c r="T50" s="14" t="s">
        <v>101</v>
      </c>
      <c r="U50" s="14" t="s">
        <v>100</v>
      </c>
      <c r="V50" s="427"/>
      <c r="W50" s="427"/>
      <c r="X50" s="427"/>
      <c r="Y50" s="427"/>
      <c r="Z50" s="14" t="s">
        <v>102</v>
      </c>
      <c r="AA50" s="14" t="s">
        <v>100</v>
      </c>
      <c r="AB50" s="14" t="s">
        <v>100</v>
      </c>
      <c r="AC50" s="14" t="s">
        <v>100</v>
      </c>
      <c r="AD50" s="14" t="s">
        <v>102</v>
      </c>
    </row>
    <row r="51" spans="1:30" x14ac:dyDescent="0.25">
      <c r="A51" s="6" t="s">
        <v>167</v>
      </c>
      <c r="C51" s="2" t="s">
        <v>168</v>
      </c>
      <c r="D51" s="434">
        <v>25</v>
      </c>
      <c r="E51" s="432"/>
      <c r="F51" s="433"/>
      <c r="G51" s="6" t="s">
        <v>109</v>
      </c>
      <c r="I51" s="171" t="s">
        <v>158</v>
      </c>
      <c r="J51" s="2">
        <f>P$9*1000</f>
        <v>120</v>
      </c>
      <c r="K51" s="2">
        <f t="shared" ref="K51:K57" si="12">D$44</f>
        <v>10</v>
      </c>
      <c r="L51" s="2">
        <f t="shared" ref="L51:L57" si="13">D$51</f>
        <v>25</v>
      </c>
      <c r="M51" s="2">
        <f t="shared" ref="M51:M57" si="14">D$4</f>
        <v>0.85</v>
      </c>
      <c r="N51" s="178">
        <f t="shared" ref="N51:N57" si="15">(0.85*D$2/D$3)*D$4*(600/(600+D$3))</f>
        <v>5.3757440476190473E-2</v>
      </c>
      <c r="O51" s="2">
        <v>0.8</v>
      </c>
      <c r="P51" s="2">
        <f t="shared" ref="P51:P57" si="16">L51+(K51/2)</f>
        <v>30</v>
      </c>
      <c r="Q51" s="2">
        <f t="shared" ref="Q51:Q57" si="17">J51-P51</f>
        <v>90</v>
      </c>
      <c r="R51" s="2">
        <v>1000</v>
      </c>
      <c r="S51" s="171">
        <f>V$40</f>
        <v>5.3711840000000004</v>
      </c>
      <c r="T51" s="178">
        <f>S51/O51</f>
        <v>6.7139800000000003</v>
      </c>
      <c r="U51" s="178">
        <f t="shared" ref="U51:U57" si="18">T51*1000000/(R51*Q51*Q51)</f>
        <v>0.82888641975308641</v>
      </c>
      <c r="V51" s="179">
        <f t="shared" ref="V51:V57" si="19">0.85*(D$2/D$3)*(1-(SQRT(1-2*U51/(0.85*D$2))))</f>
        <v>3.52381446044722E-3</v>
      </c>
      <c r="W51" s="179">
        <f t="shared" ref="W51:W57" si="20">1.4/D$3</f>
        <v>5.8333333333333327E-3</v>
      </c>
      <c r="X51" s="179">
        <f t="shared" ref="X51:X57" si="21">0.75*N51</f>
        <v>4.0318080357142856E-2</v>
      </c>
      <c r="Y51" s="179">
        <f>MAX(V51:W51)</f>
        <v>5.8333333333333327E-3</v>
      </c>
      <c r="Z51" s="2">
        <f t="shared" ref="Z51:Z57" si="22">Y51*R51*Q51</f>
        <v>525</v>
      </c>
      <c r="AA51" s="2">
        <f t="shared" ref="AA51:AA57" si="23">0.25*3.14*K51*K51*R51/Z51</f>
        <v>149.52380952380952</v>
      </c>
      <c r="AB51" s="2">
        <f>125</f>
        <v>125</v>
      </c>
      <c r="AC51" s="2">
        <v>200</v>
      </c>
      <c r="AD51" s="2">
        <f t="shared" ref="AD51:AD57" si="24">0.25*3.14*K51*K51*R51/AB51</f>
        <v>628</v>
      </c>
    </row>
    <row r="52" spans="1:30" x14ac:dyDescent="0.25">
      <c r="A52" s="6" t="s">
        <v>163</v>
      </c>
      <c r="C52" s="2" t="s">
        <v>162</v>
      </c>
      <c r="D52" s="431">
        <f>V40</f>
        <v>5.3711840000000004</v>
      </c>
      <c r="E52" s="432"/>
      <c r="F52" s="433"/>
      <c r="I52" s="171" t="s">
        <v>114</v>
      </c>
      <c r="J52" s="2">
        <f t="shared" ref="J52:J57" si="25">P$9*1000</f>
        <v>120</v>
      </c>
      <c r="K52" s="2">
        <f t="shared" si="12"/>
        <v>10</v>
      </c>
      <c r="L52" s="2">
        <f t="shared" si="13"/>
        <v>25</v>
      </c>
      <c r="M52" s="2">
        <f t="shared" si="14"/>
        <v>0.85</v>
      </c>
      <c r="N52" s="178">
        <f t="shared" si="15"/>
        <v>5.3757440476190473E-2</v>
      </c>
      <c r="O52" s="2">
        <v>0.8</v>
      </c>
      <c r="P52" s="2">
        <f t="shared" si="16"/>
        <v>30</v>
      </c>
      <c r="Q52" s="2">
        <f t="shared" si="17"/>
        <v>90</v>
      </c>
      <c r="R52" s="2">
        <v>1000</v>
      </c>
      <c r="S52" s="171">
        <f t="shared" ref="S52:S57" si="26">V$40</f>
        <v>5.3711840000000004</v>
      </c>
      <c r="T52" s="178">
        <f t="shared" ref="T52:T57" si="27">S52/O52</f>
        <v>6.7139800000000003</v>
      </c>
      <c r="U52" s="178">
        <f t="shared" si="18"/>
        <v>0.82888641975308641</v>
      </c>
      <c r="V52" s="179">
        <f t="shared" si="19"/>
        <v>3.52381446044722E-3</v>
      </c>
      <c r="W52" s="179">
        <f t="shared" si="20"/>
        <v>5.8333333333333327E-3</v>
      </c>
      <c r="X52" s="179">
        <f t="shared" si="21"/>
        <v>4.0318080357142856E-2</v>
      </c>
      <c r="Y52" s="179">
        <f t="shared" ref="Y52:Y57" si="28">MAX(V52:W52)</f>
        <v>5.8333333333333327E-3</v>
      </c>
      <c r="Z52" s="2">
        <f t="shared" si="22"/>
        <v>525</v>
      </c>
      <c r="AA52" s="2">
        <f t="shared" si="23"/>
        <v>149.52380952380952</v>
      </c>
      <c r="AB52" s="2">
        <f>125</f>
        <v>125</v>
      </c>
      <c r="AC52" s="2">
        <v>200</v>
      </c>
      <c r="AD52" s="2">
        <f t="shared" si="24"/>
        <v>628</v>
      </c>
    </row>
    <row r="53" spans="1:30" x14ac:dyDescent="0.25">
      <c r="A53" s="6" t="s">
        <v>115</v>
      </c>
      <c r="C53" s="2" t="s">
        <v>116</v>
      </c>
      <c r="D53" s="428" t="s">
        <v>117</v>
      </c>
      <c r="E53" s="429"/>
      <c r="F53" s="430"/>
      <c r="G53" s="6" t="s">
        <v>454</v>
      </c>
      <c r="I53" s="171" t="s">
        <v>159</v>
      </c>
      <c r="J53" s="2">
        <f t="shared" si="25"/>
        <v>120</v>
      </c>
      <c r="K53" s="2">
        <f t="shared" si="12"/>
        <v>10</v>
      </c>
      <c r="L53" s="2">
        <f t="shared" si="13"/>
        <v>25</v>
      </c>
      <c r="M53" s="2">
        <f t="shared" si="14"/>
        <v>0.85</v>
      </c>
      <c r="N53" s="178">
        <f t="shared" si="15"/>
        <v>5.3757440476190473E-2</v>
      </c>
      <c r="O53" s="2">
        <v>0.8</v>
      </c>
      <c r="P53" s="2">
        <f t="shared" si="16"/>
        <v>30</v>
      </c>
      <c r="Q53" s="2">
        <f t="shared" si="17"/>
        <v>90</v>
      </c>
      <c r="R53" s="2">
        <v>1000</v>
      </c>
      <c r="S53" s="171">
        <f t="shared" si="26"/>
        <v>5.3711840000000004</v>
      </c>
      <c r="T53" s="178">
        <f t="shared" si="27"/>
        <v>6.7139800000000003</v>
      </c>
      <c r="U53" s="178">
        <f t="shared" si="18"/>
        <v>0.82888641975308641</v>
      </c>
      <c r="V53" s="179">
        <f t="shared" si="19"/>
        <v>3.52381446044722E-3</v>
      </c>
      <c r="W53" s="179">
        <f t="shared" si="20"/>
        <v>5.8333333333333327E-3</v>
      </c>
      <c r="X53" s="179">
        <f t="shared" si="21"/>
        <v>4.0318080357142856E-2</v>
      </c>
      <c r="Y53" s="179">
        <f t="shared" si="28"/>
        <v>5.8333333333333327E-3</v>
      </c>
      <c r="Z53" s="2">
        <f t="shared" si="22"/>
        <v>525</v>
      </c>
      <c r="AA53" s="2">
        <f t="shared" si="23"/>
        <v>149.52380952380952</v>
      </c>
      <c r="AB53" s="2">
        <f>125</f>
        <v>125</v>
      </c>
      <c r="AC53" s="2">
        <v>200</v>
      </c>
      <c r="AD53" s="2">
        <f t="shared" si="24"/>
        <v>628</v>
      </c>
    </row>
    <row r="54" spans="1:30" x14ac:dyDescent="0.25">
      <c r="A54" s="6" t="s">
        <v>118</v>
      </c>
      <c r="C54" s="2" t="s">
        <v>119</v>
      </c>
      <c r="D54" s="428" t="s">
        <v>120</v>
      </c>
      <c r="E54" s="429"/>
      <c r="F54" s="430"/>
      <c r="I54" s="171" t="s">
        <v>111</v>
      </c>
      <c r="J54" s="2">
        <f t="shared" si="25"/>
        <v>120</v>
      </c>
      <c r="K54" s="2">
        <f t="shared" si="12"/>
        <v>10</v>
      </c>
      <c r="L54" s="2">
        <f t="shared" si="13"/>
        <v>25</v>
      </c>
      <c r="M54" s="2">
        <f t="shared" si="14"/>
        <v>0.85</v>
      </c>
      <c r="N54" s="178">
        <f t="shared" si="15"/>
        <v>5.3757440476190473E-2</v>
      </c>
      <c r="O54" s="2">
        <v>0.8</v>
      </c>
      <c r="P54" s="2">
        <f t="shared" si="16"/>
        <v>30</v>
      </c>
      <c r="Q54" s="2">
        <f t="shared" si="17"/>
        <v>90</v>
      </c>
      <c r="R54" s="2">
        <v>1000</v>
      </c>
      <c r="S54" s="171">
        <f t="shared" si="26"/>
        <v>5.3711840000000004</v>
      </c>
      <c r="T54" s="178">
        <f t="shared" si="27"/>
        <v>6.7139800000000003</v>
      </c>
      <c r="U54" s="178">
        <f t="shared" si="18"/>
        <v>0.82888641975308641</v>
      </c>
      <c r="V54" s="179">
        <f t="shared" si="19"/>
        <v>3.52381446044722E-3</v>
      </c>
      <c r="W54" s="179">
        <f t="shared" si="20"/>
        <v>5.8333333333333327E-3</v>
      </c>
      <c r="X54" s="179">
        <f t="shared" si="21"/>
        <v>4.0318080357142856E-2</v>
      </c>
      <c r="Y54" s="179">
        <f t="shared" si="28"/>
        <v>5.8333333333333327E-3</v>
      </c>
      <c r="Z54" s="2">
        <f t="shared" si="22"/>
        <v>525</v>
      </c>
      <c r="AA54" s="2">
        <f t="shared" si="23"/>
        <v>149.52380952380952</v>
      </c>
      <c r="AB54" s="2">
        <f>125</f>
        <v>125</v>
      </c>
      <c r="AC54" s="2">
        <v>200</v>
      </c>
      <c r="AD54" s="2">
        <f t="shared" si="24"/>
        <v>628</v>
      </c>
    </row>
    <row r="55" spans="1:30" x14ac:dyDescent="0.25">
      <c r="A55" s="6" t="s">
        <v>121</v>
      </c>
      <c r="C55" s="2" t="s">
        <v>91</v>
      </c>
      <c r="D55" s="428" t="s">
        <v>144</v>
      </c>
      <c r="E55" s="429"/>
      <c r="F55" s="430"/>
      <c r="I55" s="171" t="s">
        <v>160</v>
      </c>
      <c r="J55" s="2">
        <f t="shared" si="25"/>
        <v>120</v>
      </c>
      <c r="K55" s="2">
        <f t="shared" si="12"/>
        <v>10</v>
      </c>
      <c r="L55" s="2">
        <f t="shared" si="13"/>
        <v>25</v>
      </c>
      <c r="M55" s="2">
        <f t="shared" si="14"/>
        <v>0.85</v>
      </c>
      <c r="N55" s="178">
        <f t="shared" si="15"/>
        <v>5.3757440476190473E-2</v>
      </c>
      <c r="O55" s="2">
        <v>0.8</v>
      </c>
      <c r="P55" s="2">
        <f t="shared" si="16"/>
        <v>30</v>
      </c>
      <c r="Q55" s="2">
        <f t="shared" si="17"/>
        <v>90</v>
      </c>
      <c r="R55" s="2">
        <v>1000</v>
      </c>
      <c r="S55" s="171">
        <f t="shared" si="26"/>
        <v>5.3711840000000004</v>
      </c>
      <c r="T55" s="178">
        <f t="shared" si="27"/>
        <v>6.7139800000000003</v>
      </c>
      <c r="U55" s="178">
        <f t="shared" si="18"/>
        <v>0.82888641975308641</v>
      </c>
      <c r="V55" s="179">
        <f t="shared" si="19"/>
        <v>3.52381446044722E-3</v>
      </c>
      <c r="W55" s="179">
        <f t="shared" si="20"/>
        <v>5.8333333333333327E-3</v>
      </c>
      <c r="X55" s="179">
        <f t="shared" si="21"/>
        <v>4.0318080357142856E-2</v>
      </c>
      <c r="Y55" s="179">
        <f t="shared" si="28"/>
        <v>5.8333333333333327E-3</v>
      </c>
      <c r="Z55" s="2">
        <f t="shared" si="22"/>
        <v>525</v>
      </c>
      <c r="AA55" s="2">
        <f t="shared" si="23"/>
        <v>149.52380952380952</v>
      </c>
      <c r="AB55" s="2">
        <f>125</f>
        <v>125</v>
      </c>
      <c r="AC55" s="2">
        <v>200</v>
      </c>
      <c r="AD55" s="2">
        <f t="shared" si="24"/>
        <v>628</v>
      </c>
    </row>
    <row r="56" spans="1:30" x14ac:dyDescent="0.25">
      <c r="A56" s="6" t="s">
        <v>122</v>
      </c>
      <c r="C56" s="2" t="s">
        <v>92</v>
      </c>
      <c r="D56" s="428" t="s">
        <v>123</v>
      </c>
      <c r="E56" s="429"/>
      <c r="F56" s="430"/>
      <c r="I56" s="171" t="s">
        <v>161</v>
      </c>
      <c r="J56" s="2">
        <f t="shared" si="25"/>
        <v>120</v>
      </c>
      <c r="K56" s="2">
        <f t="shared" si="12"/>
        <v>10</v>
      </c>
      <c r="L56" s="2">
        <f t="shared" si="13"/>
        <v>25</v>
      </c>
      <c r="M56" s="2">
        <f t="shared" si="14"/>
        <v>0.85</v>
      </c>
      <c r="N56" s="178">
        <f t="shared" si="15"/>
        <v>5.3757440476190473E-2</v>
      </c>
      <c r="O56" s="2">
        <v>0.8</v>
      </c>
      <c r="P56" s="2">
        <f t="shared" si="16"/>
        <v>30</v>
      </c>
      <c r="Q56" s="2">
        <f t="shared" si="17"/>
        <v>90</v>
      </c>
      <c r="R56" s="2">
        <v>1000</v>
      </c>
      <c r="S56" s="171">
        <f t="shared" si="26"/>
        <v>5.3711840000000004</v>
      </c>
      <c r="T56" s="178">
        <f t="shared" si="27"/>
        <v>6.7139800000000003</v>
      </c>
      <c r="U56" s="178">
        <f t="shared" si="18"/>
        <v>0.82888641975308641</v>
      </c>
      <c r="V56" s="179">
        <f t="shared" si="19"/>
        <v>3.52381446044722E-3</v>
      </c>
      <c r="W56" s="179">
        <f t="shared" si="20"/>
        <v>5.8333333333333327E-3</v>
      </c>
      <c r="X56" s="179">
        <f t="shared" si="21"/>
        <v>4.0318080357142856E-2</v>
      </c>
      <c r="Y56" s="179">
        <f t="shared" si="28"/>
        <v>5.8333333333333327E-3</v>
      </c>
      <c r="Z56" s="2">
        <f t="shared" si="22"/>
        <v>525</v>
      </c>
      <c r="AA56" s="2">
        <f t="shared" si="23"/>
        <v>149.52380952380952</v>
      </c>
      <c r="AB56" s="2">
        <f>125</f>
        <v>125</v>
      </c>
      <c r="AC56" s="2">
        <v>200</v>
      </c>
      <c r="AD56" s="2">
        <f t="shared" si="24"/>
        <v>628</v>
      </c>
    </row>
    <row r="57" spans="1:30" x14ac:dyDescent="0.25">
      <c r="A57" s="6" t="s">
        <v>124</v>
      </c>
      <c r="C57" s="2" t="s">
        <v>91</v>
      </c>
      <c r="D57" s="428" t="s">
        <v>123</v>
      </c>
      <c r="E57" s="429"/>
      <c r="F57" s="430"/>
      <c r="I57" s="2" t="s">
        <v>241</v>
      </c>
      <c r="J57" s="2">
        <f t="shared" si="25"/>
        <v>120</v>
      </c>
      <c r="K57" s="2">
        <f t="shared" si="12"/>
        <v>10</v>
      </c>
      <c r="L57" s="2">
        <f t="shared" si="13"/>
        <v>25</v>
      </c>
      <c r="M57" s="2">
        <f t="shared" si="14"/>
        <v>0.85</v>
      </c>
      <c r="N57" s="178">
        <f t="shared" si="15"/>
        <v>5.3757440476190473E-2</v>
      </c>
      <c r="O57" s="2">
        <v>0.8</v>
      </c>
      <c r="P57" s="2">
        <f t="shared" si="16"/>
        <v>30</v>
      </c>
      <c r="Q57" s="2">
        <f t="shared" si="17"/>
        <v>90</v>
      </c>
      <c r="R57" s="2">
        <v>1000</v>
      </c>
      <c r="S57" s="171">
        <f t="shared" si="26"/>
        <v>5.3711840000000004</v>
      </c>
      <c r="T57" s="178">
        <f t="shared" si="27"/>
        <v>6.7139800000000003</v>
      </c>
      <c r="U57" s="178">
        <f t="shared" si="18"/>
        <v>0.82888641975308641</v>
      </c>
      <c r="V57" s="179">
        <f t="shared" si="19"/>
        <v>3.52381446044722E-3</v>
      </c>
      <c r="W57" s="179">
        <f t="shared" si="20"/>
        <v>5.8333333333333327E-3</v>
      </c>
      <c r="X57" s="179">
        <f t="shared" si="21"/>
        <v>4.0318080357142856E-2</v>
      </c>
      <c r="Y57" s="179">
        <f t="shared" si="28"/>
        <v>5.8333333333333327E-3</v>
      </c>
      <c r="Z57" s="2">
        <f t="shared" si="22"/>
        <v>525</v>
      </c>
      <c r="AA57" s="2">
        <f t="shared" si="23"/>
        <v>149.52380952380952</v>
      </c>
      <c r="AB57" s="2">
        <f>125</f>
        <v>125</v>
      </c>
      <c r="AC57" s="2">
        <v>200</v>
      </c>
      <c r="AD57" s="2">
        <f t="shared" si="24"/>
        <v>628</v>
      </c>
    </row>
    <row r="58" spans="1:30" x14ac:dyDescent="0.25">
      <c r="A58" s="6" t="s">
        <v>125</v>
      </c>
      <c r="C58" s="2" t="s">
        <v>126</v>
      </c>
      <c r="D58" s="428" t="s">
        <v>123</v>
      </c>
      <c r="E58" s="429"/>
      <c r="F58" s="430"/>
      <c r="G58" s="6" t="s">
        <v>128</v>
      </c>
    </row>
    <row r="59" spans="1:30" x14ac:dyDescent="0.25">
      <c r="A59" s="6" t="s">
        <v>129</v>
      </c>
      <c r="C59" s="2" t="s">
        <v>130</v>
      </c>
      <c r="D59" s="428" t="s">
        <v>131</v>
      </c>
      <c r="E59" s="429"/>
      <c r="F59" s="430"/>
      <c r="G59" s="6" t="s">
        <v>109</v>
      </c>
    </row>
    <row r="60" spans="1:30" x14ac:dyDescent="0.25">
      <c r="A60" s="6" t="s">
        <v>132</v>
      </c>
      <c r="C60" s="2" t="s">
        <v>133</v>
      </c>
      <c r="D60" s="428" t="s">
        <v>134</v>
      </c>
      <c r="E60" s="429"/>
      <c r="F60" s="430"/>
      <c r="G60" s="6" t="s">
        <v>109</v>
      </c>
    </row>
    <row r="61" spans="1:30" x14ac:dyDescent="0.25">
      <c r="A61" s="6" t="s">
        <v>132</v>
      </c>
      <c r="C61" s="2" t="s">
        <v>133</v>
      </c>
      <c r="D61" s="428" t="s">
        <v>123</v>
      </c>
      <c r="E61" s="429"/>
      <c r="F61" s="430"/>
      <c r="G61" s="6" t="s">
        <v>109</v>
      </c>
    </row>
    <row r="62" spans="1:30" x14ac:dyDescent="0.25">
      <c r="A62" s="6" t="s">
        <v>135</v>
      </c>
      <c r="C62" s="2" t="s">
        <v>130</v>
      </c>
      <c r="D62" s="428" t="s">
        <v>123</v>
      </c>
      <c r="E62" s="429"/>
      <c r="F62" s="430"/>
      <c r="G62" s="6" t="s">
        <v>109</v>
      </c>
    </row>
    <row r="63" spans="1:30" x14ac:dyDescent="0.25">
      <c r="A63" s="6" t="s">
        <v>136</v>
      </c>
      <c r="C63" s="2" t="s">
        <v>130</v>
      </c>
      <c r="D63" s="428" t="s">
        <v>123</v>
      </c>
      <c r="E63" s="429"/>
      <c r="F63" s="430"/>
      <c r="G63" s="6" t="s">
        <v>109</v>
      </c>
    </row>
    <row r="64" spans="1:30" x14ac:dyDescent="0.25">
      <c r="A64" s="6" t="s">
        <v>137</v>
      </c>
      <c r="C64" s="177" t="s">
        <v>83</v>
      </c>
      <c r="D64" s="180">
        <f>D44</f>
        <v>10</v>
      </c>
      <c r="E64" s="180" t="s">
        <v>166</v>
      </c>
      <c r="F64" s="181">
        <f>AB51</f>
        <v>125</v>
      </c>
    </row>
    <row r="65" spans="1:7" x14ac:dyDescent="0.25">
      <c r="A65" s="6" t="s">
        <v>138</v>
      </c>
      <c r="C65" s="2" t="s">
        <v>139</v>
      </c>
      <c r="D65" s="428" t="s">
        <v>140</v>
      </c>
      <c r="E65" s="429"/>
      <c r="F65" s="430"/>
      <c r="G65" s="6" t="s">
        <v>128</v>
      </c>
    </row>
    <row r="71" spans="1:7" x14ac:dyDescent="0.25">
      <c r="F71" s="6" t="s">
        <v>165</v>
      </c>
    </row>
  </sheetData>
  <mergeCells count="49">
    <mergeCell ref="I7:I8"/>
    <mergeCell ref="C23:D23"/>
    <mergeCell ref="A23:B23"/>
    <mergeCell ref="I38:I39"/>
    <mergeCell ref="M38:M39"/>
    <mergeCell ref="D36:E36"/>
    <mergeCell ref="D37:E37"/>
    <mergeCell ref="L38:L39"/>
    <mergeCell ref="V38:W38"/>
    <mergeCell ref="V39:W39"/>
    <mergeCell ref="D45:F45"/>
    <mergeCell ref="D46:F46"/>
    <mergeCell ref="D47:F47"/>
    <mergeCell ref="O38:O39"/>
    <mergeCell ref="P38:P39"/>
    <mergeCell ref="Q38:Q39"/>
    <mergeCell ref="R38:R39"/>
    <mergeCell ref="S38:S39"/>
    <mergeCell ref="T38:T39"/>
    <mergeCell ref="N38:N39"/>
    <mergeCell ref="V40:W46"/>
    <mergeCell ref="D38:E38"/>
    <mergeCell ref="D39:E39"/>
    <mergeCell ref="D44:F44"/>
    <mergeCell ref="D48:F48"/>
    <mergeCell ref="D49:F49"/>
    <mergeCell ref="D50:F50"/>
    <mergeCell ref="V49:V50"/>
    <mergeCell ref="D65:F65"/>
    <mergeCell ref="D59:F59"/>
    <mergeCell ref="D60:F60"/>
    <mergeCell ref="D61:F61"/>
    <mergeCell ref="D62:F62"/>
    <mergeCell ref="I49:I50"/>
    <mergeCell ref="D51:F51"/>
    <mergeCell ref="M49:M50"/>
    <mergeCell ref="D58:F58"/>
    <mergeCell ref="D53:F53"/>
    <mergeCell ref="D54:F54"/>
    <mergeCell ref="D55:F55"/>
    <mergeCell ref="X49:X50"/>
    <mergeCell ref="Y49:Y50"/>
    <mergeCell ref="D63:F63"/>
    <mergeCell ref="N49:N50"/>
    <mergeCell ref="O49:O50"/>
    <mergeCell ref="W49:W50"/>
    <mergeCell ref="D56:F56"/>
    <mergeCell ref="D57:F57"/>
    <mergeCell ref="D52:F5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6874-E95D-46F5-9793-229D4BD0FD1D}">
  <dimension ref="A1"/>
  <sheetViews>
    <sheetView tabSelected="1" topLeftCell="A7" workbookViewId="0">
      <selection activeCell="E6" sqref="E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CU119"/>
  <sheetViews>
    <sheetView topLeftCell="L22" zoomScale="140" zoomScaleNormal="140" workbookViewId="0">
      <selection activeCell="V35" sqref="V35"/>
    </sheetView>
  </sheetViews>
  <sheetFormatPr defaultRowHeight="15.75" x14ac:dyDescent="0.25"/>
  <cols>
    <col min="1" max="1" width="2.85546875" style="112" customWidth="1"/>
    <col min="2" max="2" width="17.7109375" style="112" customWidth="1"/>
    <col min="3" max="3" width="3.42578125" style="112" customWidth="1"/>
    <col min="4" max="6" width="9.140625" style="112"/>
    <col min="7" max="8" width="8.7109375" style="112" customWidth="1"/>
    <col min="9" max="9" width="8.7109375" style="58" customWidth="1"/>
    <col min="10" max="13" width="8.7109375" style="112" customWidth="1"/>
    <col min="14" max="14" width="4.7109375" style="112" customWidth="1"/>
    <col min="15" max="16" width="8.7109375" style="112" customWidth="1"/>
    <col min="17" max="17" width="8.7109375" style="3" customWidth="1"/>
    <col min="18" max="18" width="8.7109375" style="112" customWidth="1"/>
    <col min="19" max="19" width="10.85546875" style="112" customWidth="1"/>
    <col min="20" max="21" width="8.7109375" style="112" customWidth="1"/>
    <col min="22" max="22" width="10.85546875" style="112" customWidth="1"/>
    <col min="23" max="24" width="8.7109375" style="112" customWidth="1"/>
    <col min="25" max="25" width="12.7109375" style="112" customWidth="1"/>
    <col min="26" max="31" width="8.7109375" style="112" customWidth="1"/>
    <col min="32" max="32" width="4.7109375" style="112" customWidth="1"/>
    <col min="33" max="35" width="8.7109375" style="112" customWidth="1"/>
    <col min="36" max="36" width="10.85546875" style="112" customWidth="1"/>
    <col min="37" max="37" width="8.7109375" style="112" customWidth="1"/>
    <col min="38" max="38" width="10.85546875" style="112" customWidth="1"/>
    <col min="39" max="39" width="8.7109375" style="112" customWidth="1"/>
    <col min="40" max="40" width="12.7109375" style="112" customWidth="1"/>
    <col min="41" max="49" width="8.7109375" style="112" customWidth="1"/>
    <col min="50" max="50" width="8.7109375" style="3" customWidth="1"/>
    <col min="51" max="52" width="8.7109375" style="112" customWidth="1"/>
    <col min="53" max="56" width="12.7109375" style="112" customWidth="1"/>
    <col min="57" max="58" width="8.7109375" style="112" customWidth="1"/>
    <col min="59" max="59" width="9.140625" style="112"/>
    <col min="60" max="60" width="4.5703125" style="112" customWidth="1"/>
    <col min="61" max="68" width="9.140625" style="112"/>
    <col min="69" max="69" width="2.7109375" style="112" customWidth="1"/>
    <col min="70" max="16384" width="9.140625" style="112"/>
  </cols>
  <sheetData>
    <row r="1" spans="2:58" x14ac:dyDescent="0.25">
      <c r="W1" s="353" t="s">
        <v>539</v>
      </c>
    </row>
    <row r="2" spans="2:58" x14ac:dyDescent="0.25">
      <c r="Y2" s="112" t="s">
        <v>546</v>
      </c>
    </row>
    <row r="3" spans="2:58" x14ac:dyDescent="0.25">
      <c r="B3" s="125" t="s">
        <v>466</v>
      </c>
      <c r="X3" s="112" t="s">
        <v>225</v>
      </c>
      <c r="Y3" s="144" t="s">
        <v>227</v>
      </c>
    </row>
    <row r="4" spans="2:58" x14ac:dyDescent="0.25">
      <c r="H4" s="125" t="s">
        <v>530</v>
      </c>
      <c r="V4" s="3">
        <v>4</v>
      </c>
    </row>
    <row r="5" spans="2:58" x14ac:dyDescent="0.25">
      <c r="B5" s="112" t="s">
        <v>146</v>
      </c>
      <c r="C5" s="112" t="s">
        <v>513</v>
      </c>
      <c r="H5" s="11" t="s">
        <v>147</v>
      </c>
      <c r="I5" s="11" t="s">
        <v>11</v>
      </c>
      <c r="J5" s="245" t="s">
        <v>148</v>
      </c>
      <c r="K5" s="11" t="s">
        <v>149</v>
      </c>
      <c r="L5" s="246" t="s">
        <v>150</v>
      </c>
      <c r="M5" s="246" t="s">
        <v>150</v>
      </c>
      <c r="Z5" s="112">
        <v>7</v>
      </c>
    </row>
    <row r="6" spans="2:58" x14ac:dyDescent="0.25">
      <c r="H6" s="14" t="s">
        <v>151</v>
      </c>
      <c r="I6" s="14" t="s">
        <v>17</v>
      </c>
      <c r="J6" s="244" t="s">
        <v>17</v>
      </c>
      <c r="K6" s="14" t="s">
        <v>152</v>
      </c>
      <c r="L6" s="14" t="s">
        <v>153</v>
      </c>
      <c r="M6" s="14" t="s">
        <v>153</v>
      </c>
      <c r="W6" s="3" t="s">
        <v>547</v>
      </c>
      <c r="Y6" s="3" t="s">
        <v>548</v>
      </c>
    </row>
    <row r="7" spans="2:58" x14ac:dyDescent="0.25">
      <c r="H7" s="126" t="s">
        <v>158</v>
      </c>
      <c r="I7" s="171">
        <f>PLAT!J9</f>
        <v>3</v>
      </c>
      <c r="J7" s="171">
        <f>PLAT!K9</f>
        <v>1.5</v>
      </c>
      <c r="K7" s="171">
        <f t="shared" ref="K7:K13" si="0">C$11</f>
        <v>8.4320000000000004</v>
      </c>
      <c r="L7" s="171">
        <f t="shared" ref="L7:L13" si="1">0.25*K7*J7</f>
        <v>3.1619999999999999</v>
      </c>
      <c r="M7" s="171">
        <f>(0.5*((I7/J7)-0.5)*K7*J7*J7)/I7</f>
        <v>4.7430000000000003</v>
      </c>
      <c r="V7" s="3" t="s">
        <v>540</v>
      </c>
      <c r="W7" s="112" t="s">
        <v>543</v>
      </c>
      <c r="Y7" s="112" t="s">
        <v>544</v>
      </c>
    </row>
    <row r="8" spans="2:58" x14ac:dyDescent="0.25">
      <c r="B8" s="112" t="s">
        <v>146</v>
      </c>
      <c r="C8" s="134" t="s">
        <v>157</v>
      </c>
      <c r="D8" s="134"/>
      <c r="E8" s="134"/>
      <c r="F8" s="134"/>
      <c r="H8" s="351" t="s">
        <v>114</v>
      </c>
      <c r="I8" s="171">
        <f>PLAT!J10</f>
        <v>3.5</v>
      </c>
      <c r="J8" s="171">
        <f>PLAT!K10</f>
        <v>3</v>
      </c>
      <c r="K8" s="171">
        <f t="shared" si="0"/>
        <v>8.4320000000000004</v>
      </c>
      <c r="L8" s="171">
        <f t="shared" si="1"/>
        <v>6.3239999999999998</v>
      </c>
      <c r="M8" s="340">
        <f>(0.5*((I8/J8)-0.5)*K8*J8*J8)/I8</f>
        <v>7.2274285714285735</v>
      </c>
      <c r="Z8" s="112" t="s">
        <v>545</v>
      </c>
    </row>
    <row r="9" spans="2:58" x14ac:dyDescent="0.25">
      <c r="C9" s="479" t="s">
        <v>11</v>
      </c>
      <c r="D9" s="479"/>
      <c r="E9" s="479"/>
      <c r="H9" s="351" t="s">
        <v>159</v>
      </c>
      <c r="I9" s="171">
        <f>PLAT!J11</f>
        <v>3.5</v>
      </c>
      <c r="J9" s="171">
        <f>PLAT!K11</f>
        <v>3.5</v>
      </c>
      <c r="K9" s="171">
        <f t="shared" si="0"/>
        <v>8.4320000000000004</v>
      </c>
      <c r="L9" s="340">
        <f t="shared" si="1"/>
        <v>7.3780000000000001</v>
      </c>
      <c r="M9" s="171" t="s">
        <v>166</v>
      </c>
      <c r="W9" s="112" t="s">
        <v>537</v>
      </c>
      <c r="AT9" s="112" t="s">
        <v>326</v>
      </c>
      <c r="AU9" s="195">
        <f>BE22-AW22</f>
        <v>-22.671804088541663</v>
      </c>
      <c r="AV9" s="112">
        <f>BE22*AS22/(BE22-AU9)</f>
        <v>2.0206752623345388</v>
      </c>
    </row>
    <row r="10" spans="2:58" x14ac:dyDescent="0.25">
      <c r="H10" s="126" t="s">
        <v>111</v>
      </c>
      <c r="I10" s="171">
        <f>PLAT!J12</f>
        <v>4</v>
      </c>
      <c r="J10" s="171">
        <f>PLAT!K12</f>
        <v>1.7250000000000001</v>
      </c>
      <c r="K10" s="171">
        <f t="shared" si="0"/>
        <v>8.4320000000000004</v>
      </c>
      <c r="L10" s="171">
        <f t="shared" si="1"/>
        <v>3.6363000000000003</v>
      </c>
      <c r="M10" s="171">
        <f>(0.5*((I10/J10)-0.5)*K10*J10*J10)/I10</f>
        <v>5.7044456250000009</v>
      </c>
      <c r="W10" s="112" t="s">
        <v>538</v>
      </c>
    </row>
    <row r="11" spans="2:58" x14ac:dyDescent="0.25">
      <c r="B11" s="112" t="s">
        <v>154</v>
      </c>
      <c r="C11" s="112">
        <f>PLAT!C32</f>
        <v>8.4320000000000004</v>
      </c>
      <c r="D11" s="112" t="s">
        <v>155</v>
      </c>
      <c r="H11" s="354" t="s">
        <v>160</v>
      </c>
      <c r="I11" s="171">
        <f>PLAT!J13</f>
        <v>3.5</v>
      </c>
      <c r="J11" s="171">
        <f>PLAT!K13</f>
        <v>2</v>
      </c>
      <c r="K11" s="171">
        <f t="shared" si="0"/>
        <v>8.4320000000000004</v>
      </c>
      <c r="L11" s="171">
        <f t="shared" si="1"/>
        <v>4.2160000000000002</v>
      </c>
      <c r="M11" s="355">
        <f>(0.5*((I11/J11)-0.5)*K11*J11*J11)/I11</f>
        <v>6.0228571428571431</v>
      </c>
      <c r="W11" s="112" t="s">
        <v>541</v>
      </c>
      <c r="AU11" s="195">
        <f>BE24-AW24</f>
        <v>-15.600338541666666</v>
      </c>
      <c r="AV11" s="112">
        <f>BE24*AS24/(BE24-AU11)</f>
        <v>2.1238718105320307</v>
      </c>
    </row>
    <row r="12" spans="2:58" x14ac:dyDescent="0.25">
      <c r="B12" s="112" t="s">
        <v>156</v>
      </c>
      <c r="H12" s="354" t="s">
        <v>161</v>
      </c>
      <c r="I12" s="171">
        <f>PLAT!J14</f>
        <v>3.5</v>
      </c>
      <c r="J12" s="171">
        <f>PLAT!K14</f>
        <v>1</v>
      </c>
      <c r="K12" s="171">
        <f t="shared" si="0"/>
        <v>8.4320000000000004</v>
      </c>
      <c r="L12" s="171">
        <f t="shared" si="1"/>
        <v>2.1080000000000001</v>
      </c>
      <c r="M12" s="355">
        <f>(0.5*((I12/J12)-0.5)*K12*J12*J12)/I12</f>
        <v>3.6137142857142854</v>
      </c>
    </row>
    <row r="13" spans="2:58" ht="21" x14ac:dyDescent="0.25">
      <c r="H13" s="126" t="s">
        <v>241</v>
      </c>
      <c r="I13" s="171">
        <f>PLAT!J15</f>
        <v>2.5</v>
      </c>
      <c r="J13" s="171">
        <f>PLAT!K15</f>
        <v>2</v>
      </c>
      <c r="K13" s="171">
        <f t="shared" si="0"/>
        <v>8.4320000000000004</v>
      </c>
      <c r="L13" s="171">
        <f t="shared" si="1"/>
        <v>4.2160000000000002</v>
      </c>
      <c r="M13" s="171">
        <f>(0.5*((I13/J13)-0.5)*K13*J13*J13)/I13</f>
        <v>5.0591999999999997</v>
      </c>
      <c r="W13" s="112" t="s">
        <v>549</v>
      </c>
      <c r="BE13" s="112" t="s">
        <v>562</v>
      </c>
    </row>
    <row r="14" spans="2:58" x14ac:dyDescent="0.25">
      <c r="W14" s="112" t="s">
        <v>561</v>
      </c>
      <c r="AW14" s="195"/>
      <c r="BA14" s="445" t="s">
        <v>560</v>
      </c>
      <c r="BB14" s="445"/>
      <c r="BC14" s="445"/>
      <c r="BD14" s="112" t="s">
        <v>555</v>
      </c>
    </row>
    <row r="15" spans="2:58" x14ac:dyDescent="0.25">
      <c r="W15" s="112" t="s">
        <v>562</v>
      </c>
      <c r="AX15" s="424" t="s">
        <v>556</v>
      </c>
      <c r="AY15" s="424" t="s">
        <v>557</v>
      </c>
      <c r="BA15" s="112" t="s">
        <v>552</v>
      </c>
      <c r="BB15" s="112" t="s">
        <v>553</v>
      </c>
      <c r="BC15" s="112" t="s">
        <v>554</v>
      </c>
      <c r="BF15" s="112" t="s">
        <v>563</v>
      </c>
    </row>
    <row r="16" spans="2:58" ht="21" x14ac:dyDescent="0.25">
      <c r="W16" s="112" t="s">
        <v>550</v>
      </c>
      <c r="AX16" s="3">
        <f>AS24/AU24</f>
        <v>0.75</v>
      </c>
      <c r="AY16" s="112">
        <f>AT24/AU24</f>
        <v>0.25</v>
      </c>
      <c r="BA16" s="112">
        <f>AV24*AS24*AU24*AX16*(3*AX16^2-8*AX16+6)/12</f>
        <v>22.535718750000001</v>
      </c>
      <c r="BB16" s="112">
        <f>AX22*AT22*AU22*AY16*(4-AY16)/12</f>
        <v>3.2288892578125008</v>
      </c>
      <c r="BC16" s="112">
        <f>AZ22*AS22*AT22^2/AU22^2</f>
        <v>7.2432187500000005</v>
      </c>
      <c r="BD16" s="333">
        <f>BA16+BB16+BC16</f>
        <v>33.007826757812502</v>
      </c>
      <c r="BE16" s="353" t="s">
        <v>558</v>
      </c>
      <c r="BF16" s="333">
        <f>((AV22*AS22)*(AT22+0.5*AS22)+(AZ22*AT22)+(AX22*AT22)*0.5*AT22+BA22-BB22)/AU22</f>
        <v>46.779532786458347</v>
      </c>
    </row>
    <row r="17" spans="2:90" x14ac:dyDescent="0.25">
      <c r="B17" s="125" t="s">
        <v>467</v>
      </c>
      <c r="W17" s="112" t="s">
        <v>551</v>
      </c>
      <c r="Z17" s="125"/>
      <c r="AA17" s="125"/>
      <c r="AB17" s="125"/>
      <c r="AC17" s="125"/>
      <c r="AD17" s="125"/>
      <c r="AE17" s="125"/>
      <c r="AF17" s="125" t="s">
        <v>463</v>
      </c>
      <c r="AW17" s="3"/>
      <c r="AX17" s="112"/>
      <c r="BA17" s="112">
        <f>AV22*AS22*AU22*AX16^2*(4-AX16)/12</f>
        <v>42.321908408203136</v>
      </c>
      <c r="BB17" s="112">
        <f>AX22*AT22*AU22*AY16*(3*AY16^2-8*AY16+6)/12</f>
        <v>3.6055930045572921</v>
      </c>
      <c r="BC17" s="112">
        <f>AZ22*AT22*AS22^2/AU22^2</f>
        <v>21.729656250000001</v>
      </c>
      <c r="BD17" s="333">
        <f>BA17+BB17+BC17</f>
        <v>67.657157662760426</v>
      </c>
      <c r="BE17" s="353" t="s">
        <v>559</v>
      </c>
      <c r="BH17" s="210" t="s">
        <v>464</v>
      </c>
      <c r="BI17" s="145"/>
      <c r="BJ17" s="145"/>
      <c r="BK17" s="208"/>
      <c r="BL17" s="208"/>
      <c r="BM17" s="208"/>
      <c r="BN17" s="208"/>
      <c r="BO17" s="60"/>
      <c r="BS17" s="60"/>
      <c r="BT17" s="60"/>
      <c r="BW17" s="208"/>
    </row>
    <row r="18" spans="2:90" x14ac:dyDescent="0.25">
      <c r="AW18" s="3"/>
      <c r="AX18" s="112"/>
      <c r="BH18" s="249"/>
      <c r="BI18" s="3"/>
      <c r="BJ18" s="145"/>
      <c r="BK18" s="208"/>
      <c r="BL18" s="208"/>
      <c r="BM18" s="208"/>
      <c r="BN18" s="208"/>
      <c r="BO18" s="60"/>
      <c r="BQ18" s="64"/>
      <c r="BR18" s="64"/>
      <c r="BS18" s="3"/>
      <c r="BT18" s="3"/>
    </row>
    <row r="19" spans="2:90" ht="15" customHeight="1" x14ac:dyDescent="0.25">
      <c r="B19" s="176" t="s">
        <v>171</v>
      </c>
      <c r="C19" s="2" t="s">
        <v>172</v>
      </c>
      <c r="D19" s="2">
        <f>PLAT!D3</f>
        <v>240</v>
      </c>
      <c r="E19" s="112" t="s">
        <v>3</v>
      </c>
      <c r="F19" s="112" t="s">
        <v>531</v>
      </c>
      <c r="I19" s="112"/>
      <c r="J19" s="352" t="s">
        <v>532</v>
      </c>
      <c r="L19" s="112" t="s">
        <v>533</v>
      </c>
      <c r="N19" s="447" t="s">
        <v>173</v>
      </c>
      <c r="O19" s="448"/>
      <c r="P19" s="449"/>
      <c r="Q19" s="11" t="s">
        <v>174</v>
      </c>
      <c r="R19" s="11" t="s">
        <v>175</v>
      </c>
      <c r="S19" s="11" t="s">
        <v>176</v>
      </c>
      <c r="T19" s="11" t="s">
        <v>114</v>
      </c>
      <c r="U19" s="11" t="s">
        <v>177</v>
      </c>
      <c r="V19" s="11" t="s">
        <v>178</v>
      </c>
      <c r="W19" s="11" t="s">
        <v>179</v>
      </c>
      <c r="X19" s="11" t="s">
        <v>180</v>
      </c>
      <c r="Y19" s="11" t="s">
        <v>181</v>
      </c>
      <c r="Z19" s="11" t="s">
        <v>182</v>
      </c>
      <c r="AA19" s="11" t="s">
        <v>183</v>
      </c>
      <c r="AB19" s="11" t="s">
        <v>184</v>
      </c>
      <c r="AC19" s="11" t="s">
        <v>185</v>
      </c>
      <c r="AD19" s="426" t="s">
        <v>186</v>
      </c>
      <c r="AF19" s="447" t="s">
        <v>173</v>
      </c>
      <c r="AG19" s="448"/>
      <c r="AH19" s="449"/>
      <c r="AI19" s="11" t="s">
        <v>174</v>
      </c>
      <c r="AJ19" s="11" t="s">
        <v>176</v>
      </c>
      <c r="AK19" s="11" t="s">
        <v>114</v>
      </c>
      <c r="AL19" s="11" t="s">
        <v>178</v>
      </c>
      <c r="AM19" s="11" t="s">
        <v>179</v>
      </c>
      <c r="AN19" s="93" t="s">
        <v>181</v>
      </c>
      <c r="AO19" s="447" t="s">
        <v>150</v>
      </c>
      <c r="AP19" s="448"/>
      <c r="AQ19" s="447" t="s">
        <v>150</v>
      </c>
      <c r="AR19" s="449"/>
      <c r="AS19" s="11" t="s">
        <v>222</v>
      </c>
      <c r="AT19" s="95" t="s">
        <v>223</v>
      </c>
      <c r="AU19" s="11" t="s">
        <v>224</v>
      </c>
      <c r="AV19" s="95" t="s">
        <v>225</v>
      </c>
      <c r="AW19" s="11" t="s">
        <v>226</v>
      </c>
      <c r="AX19" s="11" t="s">
        <v>227</v>
      </c>
      <c r="AY19" s="11" t="s">
        <v>228</v>
      </c>
      <c r="AZ19" s="11" t="s">
        <v>245</v>
      </c>
      <c r="BA19" s="93" t="s">
        <v>229</v>
      </c>
      <c r="BB19" s="93" t="s">
        <v>230</v>
      </c>
      <c r="BC19" s="93" t="s">
        <v>231</v>
      </c>
      <c r="BD19" s="468" t="s">
        <v>232</v>
      </c>
      <c r="BE19" s="93" t="s">
        <v>184</v>
      </c>
      <c r="BF19" s="11" t="s">
        <v>185</v>
      </c>
      <c r="BH19" s="447" t="s">
        <v>173</v>
      </c>
      <c r="BI19" s="448"/>
      <c r="BJ19" s="449"/>
      <c r="BK19" s="459" t="s">
        <v>184</v>
      </c>
      <c r="BL19" s="460"/>
      <c r="BM19" s="460"/>
      <c r="BN19" s="460"/>
      <c r="BO19" s="461"/>
      <c r="BP19" s="426" t="s">
        <v>221</v>
      </c>
      <c r="BR19" s="447" t="s">
        <v>185</v>
      </c>
      <c r="BS19" s="448"/>
      <c r="BT19" s="448"/>
      <c r="BU19" s="448"/>
      <c r="BV19" s="449"/>
      <c r="BW19" s="426" t="s">
        <v>221</v>
      </c>
      <c r="CL19" s="409" t="s">
        <v>246</v>
      </c>
    </row>
    <row r="20" spans="2:90" x14ac:dyDescent="0.25">
      <c r="B20" s="176" t="s">
        <v>187</v>
      </c>
      <c r="C20" s="2" t="s">
        <v>172</v>
      </c>
      <c r="D20" s="2">
        <f>PLAT!P$51</f>
        <v>30</v>
      </c>
      <c r="E20" s="112" t="s">
        <v>109</v>
      </c>
      <c r="I20" s="112"/>
      <c r="J20" s="112" t="s">
        <v>534</v>
      </c>
      <c r="N20" s="450" t="s">
        <v>17</v>
      </c>
      <c r="O20" s="451"/>
      <c r="P20" s="452"/>
      <c r="Q20" s="14" t="s">
        <v>17</v>
      </c>
      <c r="R20" s="14" t="s">
        <v>17</v>
      </c>
      <c r="S20" s="14" t="s">
        <v>17</v>
      </c>
      <c r="T20" s="14" t="s">
        <v>17</v>
      </c>
      <c r="U20" s="14" t="s">
        <v>17</v>
      </c>
      <c r="V20" s="14" t="s">
        <v>17</v>
      </c>
      <c r="W20" s="14" t="s">
        <v>188</v>
      </c>
      <c r="X20" s="14" t="s">
        <v>153</v>
      </c>
      <c r="Y20" s="14" t="s">
        <v>153</v>
      </c>
      <c r="Z20" s="14" t="s">
        <v>153</v>
      </c>
      <c r="AA20" s="14" t="s">
        <v>189</v>
      </c>
      <c r="AB20" s="14" t="s">
        <v>190</v>
      </c>
      <c r="AC20" s="14" t="s">
        <v>190</v>
      </c>
      <c r="AD20" s="427"/>
      <c r="AF20" s="450" t="s">
        <v>17</v>
      </c>
      <c r="AG20" s="451"/>
      <c r="AH20" s="452"/>
      <c r="AI20" s="14" t="s">
        <v>17</v>
      </c>
      <c r="AJ20" s="14" t="s">
        <v>17</v>
      </c>
      <c r="AK20" s="14" t="s">
        <v>17</v>
      </c>
      <c r="AL20" s="14" t="s">
        <v>17</v>
      </c>
      <c r="AM20" s="14" t="s">
        <v>188</v>
      </c>
      <c r="AN20" s="247" t="s">
        <v>153</v>
      </c>
      <c r="AO20" s="450" t="s">
        <v>153</v>
      </c>
      <c r="AP20" s="451"/>
      <c r="AQ20" s="477" t="s">
        <v>153</v>
      </c>
      <c r="AR20" s="478"/>
      <c r="AS20" s="14" t="s">
        <v>17</v>
      </c>
      <c r="AT20" s="120" t="s">
        <v>17</v>
      </c>
      <c r="AU20" s="14" t="s">
        <v>17</v>
      </c>
      <c r="AV20" s="120" t="s">
        <v>153</v>
      </c>
      <c r="AW20" s="14" t="s">
        <v>153</v>
      </c>
      <c r="AX20" s="14" t="s">
        <v>153</v>
      </c>
      <c r="AY20" s="14" t="s">
        <v>153</v>
      </c>
      <c r="AZ20" s="14" t="s">
        <v>190</v>
      </c>
      <c r="BA20" s="97" t="s">
        <v>189</v>
      </c>
      <c r="BB20" s="97" t="s">
        <v>189</v>
      </c>
      <c r="BC20" s="97" t="s">
        <v>189</v>
      </c>
      <c r="BD20" s="469"/>
      <c r="BE20" s="97" t="s">
        <v>233</v>
      </c>
      <c r="BF20" s="14" t="s">
        <v>233</v>
      </c>
      <c r="BH20" s="450" t="s">
        <v>17</v>
      </c>
      <c r="BI20" s="451"/>
      <c r="BJ20" s="452"/>
      <c r="BK20" s="462"/>
      <c r="BL20" s="463"/>
      <c r="BM20" s="463"/>
      <c r="BN20" s="463"/>
      <c r="BO20" s="464"/>
      <c r="BP20" s="465"/>
      <c r="BR20" s="450"/>
      <c r="BS20" s="451"/>
      <c r="BT20" s="451"/>
      <c r="BU20" s="451"/>
      <c r="BV20" s="452"/>
      <c r="BW20" s="465"/>
    </row>
    <row r="21" spans="2:90" ht="15" customHeight="1" x14ac:dyDescent="0.25">
      <c r="B21" s="176" t="s">
        <v>191</v>
      </c>
      <c r="C21" s="2" t="s">
        <v>172</v>
      </c>
      <c r="D21" s="2">
        <v>24</v>
      </c>
      <c r="E21" s="112" t="s">
        <v>192</v>
      </c>
      <c r="I21" s="112"/>
      <c r="N21" s="453" t="s">
        <v>20</v>
      </c>
      <c r="O21" s="80" t="s">
        <v>202</v>
      </c>
      <c r="P21" s="99"/>
      <c r="Q21" s="15"/>
      <c r="R21" s="15"/>
      <c r="S21" s="15"/>
      <c r="T21" s="15"/>
      <c r="U21" s="15"/>
      <c r="V21" s="15"/>
      <c r="W21" s="15"/>
      <c r="X21" s="15" t="s">
        <v>203</v>
      </c>
      <c r="Y21" s="15"/>
      <c r="Z21" s="15"/>
      <c r="AA21" s="15"/>
      <c r="AB21" s="15"/>
      <c r="AC21" s="15"/>
      <c r="AD21" s="122"/>
      <c r="AF21" s="473" t="s">
        <v>208</v>
      </c>
      <c r="AG21" s="398" t="str">
        <f>O33</f>
        <v>(4-7)</v>
      </c>
      <c r="AH21" s="399"/>
      <c r="AI21" s="400"/>
      <c r="AJ21" s="400"/>
      <c r="AK21" s="400"/>
      <c r="AL21" s="401"/>
      <c r="AM21" s="402"/>
      <c r="AN21" s="343"/>
      <c r="AO21" s="403" t="s">
        <v>234</v>
      </c>
      <c r="AP21" s="404" t="s">
        <v>240</v>
      </c>
      <c r="AQ21" s="475" t="s">
        <v>235</v>
      </c>
      <c r="AR21" s="476"/>
      <c r="AS21" s="345"/>
      <c r="AT21" s="405"/>
      <c r="AU21" s="406"/>
      <c r="AV21" s="407"/>
      <c r="AW21" s="407"/>
      <c r="AX21" s="407"/>
      <c r="AY21" s="407"/>
      <c r="AZ21" s="363"/>
      <c r="BA21" s="408"/>
      <c r="BB21" s="409"/>
      <c r="BC21" s="410"/>
      <c r="BD21" s="469"/>
      <c r="BE21" s="198"/>
      <c r="BF21" s="200"/>
      <c r="BH21" s="453" t="s">
        <v>208</v>
      </c>
      <c r="BI21" s="404" t="str">
        <f>AG21</f>
        <v>(4-7)</v>
      </c>
      <c r="BJ21" s="415"/>
      <c r="BK21" s="341" t="s">
        <v>455</v>
      </c>
      <c r="BL21" s="341" t="s">
        <v>456</v>
      </c>
      <c r="BM21" s="341" t="s">
        <v>457</v>
      </c>
      <c r="BN21" s="341" t="s">
        <v>458</v>
      </c>
      <c r="BO21" s="416" t="s">
        <v>459</v>
      </c>
      <c r="BP21" s="343"/>
      <c r="BR21" s="341" t="s">
        <v>455</v>
      </c>
      <c r="BS21" s="341" t="s">
        <v>456</v>
      </c>
      <c r="BT21" s="341" t="s">
        <v>457</v>
      </c>
      <c r="BU21" s="341" t="s">
        <v>460</v>
      </c>
      <c r="BV21" s="416" t="s">
        <v>461</v>
      </c>
      <c r="BW21" s="15"/>
    </row>
    <row r="22" spans="2:90" x14ac:dyDescent="0.25">
      <c r="B22" s="176" t="s">
        <v>193</v>
      </c>
      <c r="C22" s="2" t="s">
        <v>172</v>
      </c>
      <c r="D22" s="2">
        <f>PLAT!D2</f>
        <v>25</v>
      </c>
      <c r="E22" s="112" t="s">
        <v>3</v>
      </c>
      <c r="I22" s="112"/>
      <c r="J22" s="112" t="s">
        <v>535</v>
      </c>
      <c r="N22" s="454"/>
      <c r="O22" s="44" t="s">
        <v>194</v>
      </c>
      <c r="P22" s="106">
        <v>1.5</v>
      </c>
      <c r="Q22" s="26">
        <v>0.3</v>
      </c>
      <c r="R22" s="26">
        <v>0.2</v>
      </c>
      <c r="S22" s="26">
        <f>MAX(Q22:R22)</f>
        <v>0.3</v>
      </c>
      <c r="T22" s="26">
        <v>0.2</v>
      </c>
      <c r="U22" s="26">
        <f>0.15</f>
        <v>0.15</v>
      </c>
      <c r="V22" s="26">
        <f>MAX(T22:U22)</f>
        <v>0.2</v>
      </c>
      <c r="W22" s="26">
        <f>1.2*D$21*S22*V$22</f>
        <v>1.7279999999999998</v>
      </c>
      <c r="X22" s="24">
        <f>L7</f>
        <v>3.1619999999999999</v>
      </c>
      <c r="Y22" s="26">
        <f>1.2*D$24*D$25*D$23</f>
        <v>10.71</v>
      </c>
      <c r="Z22" s="24">
        <f>SUM(W22:Y22)</f>
        <v>15.600000000000001</v>
      </c>
      <c r="AA22" s="24">
        <f>1/12*Z22*(P22)^2</f>
        <v>2.9250000000000003</v>
      </c>
      <c r="AB22" s="24">
        <f>1/2*Z22*P22</f>
        <v>11.700000000000001</v>
      </c>
      <c r="AC22" s="24">
        <f>1/2*Z22*P22</f>
        <v>11.700000000000001</v>
      </c>
      <c r="AD22" s="201"/>
      <c r="AF22" s="474"/>
      <c r="AG22" s="411" t="str">
        <f>O34</f>
        <v>L:</v>
      </c>
      <c r="AH22" s="412">
        <f>P34</f>
        <v>4</v>
      </c>
      <c r="AI22" s="349">
        <f>Q34</f>
        <v>0.4</v>
      </c>
      <c r="AJ22" s="349">
        <v>0.35</v>
      </c>
      <c r="AK22" s="349">
        <f>T34</f>
        <v>0.25</v>
      </c>
      <c r="AL22" s="413">
        <f>V34</f>
        <v>0.25</v>
      </c>
      <c r="AM22" s="413">
        <f>1.2*AJ22*AL22*D$21</f>
        <v>2.52</v>
      </c>
      <c r="AN22" s="349">
        <f>1.2*D$23*D$24*D$25</f>
        <v>10.71</v>
      </c>
      <c r="AO22" s="414">
        <f>L11</f>
        <v>4.2160000000000002</v>
      </c>
      <c r="AP22" s="367">
        <f>L12</f>
        <v>2.1080000000000001</v>
      </c>
      <c r="AQ22" s="471">
        <f>M10</f>
        <v>5.7044456250000009</v>
      </c>
      <c r="AR22" s="472"/>
      <c r="AS22" s="349">
        <v>3</v>
      </c>
      <c r="AT22" s="414">
        <v>1</v>
      </c>
      <c r="AU22" s="349">
        <f>SUM(AS22:AT22)</f>
        <v>4</v>
      </c>
      <c r="AV22" s="414">
        <f>AM22+AN22+AO22+AQ22</f>
        <v>23.150445625000003</v>
      </c>
      <c r="AW22" s="414">
        <f>AV22*AS22</f>
        <v>69.45133687500001</v>
      </c>
      <c r="AX22" s="414">
        <f>AM22+AP22+AQ22</f>
        <v>10.332445625000002</v>
      </c>
      <c r="AY22" s="414">
        <f>AX22*AT22</f>
        <v>10.332445625000002</v>
      </c>
      <c r="AZ22" s="349">
        <f>AB60</f>
        <v>38.630500000000005</v>
      </c>
      <c r="BA22" s="317">
        <f>((AV22*AS22*AU22*(AS22/AU22)/12)*((3*((AS22/AU22)^2))-(8*(AS22/AU22))+6))+((AX22*AT22*AU22*((AT22/AU22)^2)/12)*(4-(AT22/AU22)))+((AZ22*AS22*AT22^2)/AU22^2)</f>
        <v>37.350223808593753</v>
      </c>
      <c r="BB22" s="423">
        <f>((AV22*AS22*AU22*((AS22/AU22)^2)/12)*(4-(AS22/AU22)))+((AX22*AT22*AU22*(AT22/AU22)/12)*((3*(AT22/AU22)^2)-(8*(AT22/AU22))+6))+(((AZ22*AT22*AS22^2)/AU22^2))</f>
        <v>67.657157662760426</v>
      </c>
      <c r="BC22" s="425">
        <f>(BE22*AV9)-(0.5*AV22*AV9^2)-BA22</f>
        <v>9.9128985339881694</v>
      </c>
      <c r="BD22" s="469"/>
      <c r="BE22" s="203">
        <f>BP22</f>
        <v>46.779532786458347</v>
      </c>
      <c r="BF22" s="24">
        <f>BW22</f>
        <v>71.63474971354168</v>
      </c>
      <c r="BH22" s="455"/>
      <c r="BI22" s="417" t="str">
        <f>AG22</f>
        <v>L:</v>
      </c>
      <c r="BJ22" s="418">
        <f>AH22</f>
        <v>4</v>
      </c>
      <c r="BK22" s="365">
        <f>AZ22*AT22/AU22</f>
        <v>9.6576250000000012</v>
      </c>
      <c r="BL22" s="365">
        <f>(AW22*((1/2*AS22)+AT22))/AU22</f>
        <v>43.40708554687501</v>
      </c>
      <c r="BM22" s="419">
        <f>(AY22*(1/2*AT22)/AU22)</f>
        <v>1.2915557031250002</v>
      </c>
      <c r="BN22" s="365">
        <f>BA22/AU22</f>
        <v>9.3375559521484384</v>
      </c>
      <c r="BO22" s="419">
        <f>BB22/AU22</f>
        <v>16.914289415690106</v>
      </c>
      <c r="BP22" s="349">
        <f>BK22+BL22+BM22+BN22-BO22</f>
        <v>46.779532786458347</v>
      </c>
      <c r="BQ22" s="58"/>
      <c r="BR22" s="365">
        <f>(AZ22*AS22)/AU22</f>
        <v>28.972875000000002</v>
      </c>
      <c r="BS22" s="365">
        <f>(AW22*(1/2*AS22)/AU22)</f>
        <v>26.044251328125004</v>
      </c>
      <c r="BT22" s="364">
        <f>(AY22*((1/2*AT22)+AS22)/AU22)</f>
        <v>9.0408899218750012</v>
      </c>
      <c r="BU22" s="365">
        <f>BA22/AU22</f>
        <v>9.3375559521484384</v>
      </c>
      <c r="BV22" s="364">
        <f>BB22/AU22</f>
        <v>16.914289415690106</v>
      </c>
      <c r="BW22" s="24">
        <f>BR22+BS22+BT22-BU22+BV22</f>
        <v>71.63474971354168</v>
      </c>
    </row>
    <row r="23" spans="2:90" ht="15" customHeight="1" x14ac:dyDescent="0.25">
      <c r="B23" s="176" t="s">
        <v>199</v>
      </c>
      <c r="C23" s="2" t="s">
        <v>172</v>
      </c>
      <c r="D23" s="2">
        <v>0.15</v>
      </c>
      <c r="E23" s="112" t="s">
        <v>127</v>
      </c>
      <c r="I23" s="112"/>
      <c r="J23" s="112" t="s">
        <v>536</v>
      </c>
      <c r="N23" s="454"/>
      <c r="O23" s="341" t="s">
        <v>197</v>
      </c>
      <c r="P23" s="342"/>
      <c r="Q23" s="343"/>
      <c r="R23" s="343"/>
      <c r="S23" s="343"/>
      <c r="T23" s="343"/>
      <c r="U23" s="343"/>
      <c r="V23" s="343"/>
      <c r="W23" s="343"/>
      <c r="X23" s="343" t="s">
        <v>204</v>
      </c>
      <c r="Y23" s="343"/>
      <c r="Z23" s="344"/>
      <c r="AA23" s="344"/>
      <c r="AB23" s="344"/>
      <c r="AC23" s="344"/>
      <c r="AD23" s="345"/>
      <c r="AF23" s="453" t="s">
        <v>212</v>
      </c>
      <c r="AG23" s="250" t="str">
        <f>O39</f>
        <v>(4-7)</v>
      </c>
      <c r="AH23" s="251"/>
      <c r="AI23" s="196"/>
      <c r="AJ23" s="196"/>
      <c r="AK23" s="196"/>
      <c r="AL23" s="197"/>
      <c r="AM23" s="198"/>
      <c r="AN23" s="15"/>
      <c r="AO23" s="159" t="s">
        <v>234</v>
      </c>
      <c r="AP23" s="64" t="s">
        <v>240</v>
      </c>
      <c r="AQ23" s="78"/>
      <c r="AR23" s="158"/>
      <c r="AS23" s="122"/>
      <c r="AT23" s="167"/>
      <c r="AU23" s="140"/>
      <c r="AV23" s="157"/>
      <c r="AW23" s="157"/>
      <c r="AX23" s="157"/>
      <c r="AY23" s="157"/>
      <c r="AZ23" s="57"/>
      <c r="BA23" s="204"/>
      <c r="BB23" s="199"/>
      <c r="BC23" s="199"/>
      <c r="BD23" s="469"/>
      <c r="BE23" s="16"/>
      <c r="BF23" s="16"/>
      <c r="BH23" s="453" t="s">
        <v>212</v>
      </c>
      <c r="BI23" s="250" t="str">
        <f>AG23</f>
        <v>(4-7)</v>
      </c>
      <c r="BJ23" s="255"/>
      <c r="BK23" s="99" t="s">
        <v>455</v>
      </c>
      <c r="BL23" s="99" t="s">
        <v>456</v>
      </c>
      <c r="BM23" s="99" t="s">
        <v>457</v>
      </c>
      <c r="BN23" s="99" t="s">
        <v>458</v>
      </c>
      <c r="BO23" s="248" t="s">
        <v>462</v>
      </c>
      <c r="BP23" s="59"/>
      <c r="BQ23" s="58"/>
      <c r="BR23" s="99" t="s">
        <v>455</v>
      </c>
      <c r="BS23" s="99" t="s">
        <v>456</v>
      </c>
      <c r="BT23" s="99" t="s">
        <v>457</v>
      </c>
      <c r="BU23" s="99" t="s">
        <v>460</v>
      </c>
      <c r="BV23" s="248" t="s">
        <v>461</v>
      </c>
      <c r="BW23" s="59"/>
    </row>
    <row r="24" spans="2:90" ht="15" customHeight="1" x14ac:dyDescent="0.25">
      <c r="B24" s="176" t="s">
        <v>200</v>
      </c>
      <c r="C24" s="2" t="s">
        <v>172</v>
      </c>
      <c r="D24" s="2">
        <v>3.5</v>
      </c>
      <c r="E24" s="112" t="s">
        <v>127</v>
      </c>
      <c r="I24" s="112"/>
      <c r="N24" s="454"/>
      <c r="O24" s="346" t="s">
        <v>194</v>
      </c>
      <c r="P24" s="347">
        <v>3.5</v>
      </c>
      <c r="Q24" s="348">
        <f>ROUNDUP((1/12*P24),1)</f>
        <v>0.30000000000000004</v>
      </c>
      <c r="R24" s="348">
        <v>0.2</v>
      </c>
      <c r="S24" s="348">
        <v>0.25</v>
      </c>
      <c r="T24" s="348">
        <v>0.2</v>
      </c>
      <c r="U24" s="348">
        <f>0.15</f>
        <v>0.15</v>
      </c>
      <c r="V24" s="348">
        <f>MAX(T24:U24)</f>
        <v>0.2</v>
      </c>
      <c r="W24" s="348">
        <f>1.2*D$21*S24*V24</f>
        <v>1.44</v>
      </c>
      <c r="X24" s="349">
        <f>M8</f>
        <v>7.2274285714285735</v>
      </c>
      <c r="Y24" s="348">
        <f>1.2*D$24*D$25*D$23</f>
        <v>10.71</v>
      </c>
      <c r="Z24" s="349">
        <f>SUM(W24:Y24)</f>
        <v>19.377428571428574</v>
      </c>
      <c r="AA24" s="349">
        <f>1/12*Z24*(P24)^2</f>
        <v>19.781125000000003</v>
      </c>
      <c r="AB24" s="349">
        <f>1/2*Z24*P24</f>
        <v>33.910500000000006</v>
      </c>
      <c r="AC24" s="349">
        <f>1/2*Z24*P24</f>
        <v>33.910500000000006</v>
      </c>
      <c r="AD24" s="350"/>
      <c r="AF24" s="455"/>
      <c r="AG24" s="135" t="str">
        <f>O40</f>
        <v>L:</v>
      </c>
      <c r="AH24" s="252">
        <f>P40</f>
        <v>4</v>
      </c>
      <c r="AI24" s="59">
        <f>Q40</f>
        <v>0.4</v>
      </c>
      <c r="AJ24" s="59">
        <f>S40</f>
        <v>0.4</v>
      </c>
      <c r="AK24" s="59">
        <f>T40</f>
        <v>0.25</v>
      </c>
      <c r="AL24" s="203">
        <f>V40</f>
        <v>0.25</v>
      </c>
      <c r="AM24" s="203">
        <f>1.2*AJ24*AL24*D$21</f>
        <v>2.88</v>
      </c>
      <c r="AN24" s="24">
        <f>1.2*D$23*D$24*D$25</f>
        <v>10.71</v>
      </c>
      <c r="AO24" s="202">
        <f>L11</f>
        <v>4.2160000000000002</v>
      </c>
      <c r="AP24" s="27">
        <f>L12</f>
        <v>2.1080000000000001</v>
      </c>
      <c r="AQ24" s="439"/>
      <c r="AR24" s="440"/>
      <c r="AS24" s="24">
        <v>3</v>
      </c>
      <c r="AT24" s="202">
        <v>1</v>
      </c>
      <c r="AU24" s="59">
        <f>SUM(AS24:AT24)</f>
        <v>4</v>
      </c>
      <c r="AV24" s="202">
        <f>AM24+AN24+AO24</f>
        <v>17.806000000000001</v>
      </c>
      <c r="AW24" s="202">
        <f>AV24*AS24</f>
        <v>53.418000000000006</v>
      </c>
      <c r="AX24" s="202">
        <f>AM24+AN24+AP24</f>
        <v>15.698</v>
      </c>
      <c r="AY24" s="202">
        <f>AX24*AT24</f>
        <v>15.698</v>
      </c>
      <c r="AZ24" s="24">
        <f>AB60</f>
        <v>38.630500000000005</v>
      </c>
      <c r="BA24" s="24">
        <f>((AV24*AS24*AU24*(AS24/AU24)/12)*((3*((AS24/AU24)^2))-(8*(AS24/AU24))+6))+((AX24*AT24*AU24*((AT24/AU24)^2)/12)*(4-(AT24/AU24)))+((AZ24*AS24*AT24^2)/AU24^2)</f>
        <v>31.005343750000002</v>
      </c>
      <c r="BB24" s="202">
        <f>((AV24*AS24*AU24*((AS24/AU24)^2)/12)*(4-(AS24/AU24)))+((AX24*AT24*AU24*(AT24/AU24)/12)*((3*(AT24/AU24)^2)-(8*(AT24/AU24))+6))+(((AZ24*AT24*AS24^2)/AU24^2))</f>
        <v>59.759197916666665</v>
      </c>
      <c r="BC24" s="203">
        <f>(BE24*AV11)-(0.5*AV24*AV11^2)-BA24</f>
        <v>9.1545888057989089</v>
      </c>
      <c r="BD24" s="470"/>
      <c r="BE24" s="24">
        <f>BP24</f>
        <v>37.81766145833334</v>
      </c>
      <c r="BF24" s="24">
        <f>BW24</f>
        <v>69.928838541666664</v>
      </c>
      <c r="BH24" s="455"/>
      <c r="BI24" s="256" t="str">
        <f>AG24</f>
        <v>L:</v>
      </c>
      <c r="BJ24" s="254">
        <f>AH24</f>
        <v>4</v>
      </c>
      <c r="BK24" s="24">
        <f>AZ24*AT24/AU24</f>
        <v>9.6576250000000012</v>
      </c>
      <c r="BL24" s="24">
        <f>(AW24*((1/2*AS24)+AT24))/AU24</f>
        <v>33.386250000000004</v>
      </c>
      <c r="BM24" s="24">
        <f>(AY24*(1/2*AT24)/AU24)</f>
        <v>1.96225</v>
      </c>
      <c r="BN24" s="24">
        <f>BA24/AU24</f>
        <v>7.7513359375000004</v>
      </c>
      <c r="BO24" s="24">
        <f>BB24/AU24</f>
        <v>14.939799479166666</v>
      </c>
      <c r="BP24" s="24">
        <f>BK24+BL24+BM24+BN24-BO24</f>
        <v>37.81766145833334</v>
      </c>
      <c r="BQ24" s="58"/>
      <c r="BR24" s="24">
        <f>(AZ24*AS24)/AU24</f>
        <v>28.972875000000002</v>
      </c>
      <c r="BS24" s="24">
        <f>(AW24*(1/2*AS24)/AU24)</f>
        <v>20.031750000000002</v>
      </c>
      <c r="BT24" s="202">
        <f>(AY24*((1/2*AT24)+AS24)/AU24)</f>
        <v>13.735749999999999</v>
      </c>
      <c r="BU24" s="24">
        <f>BA24/AU24</f>
        <v>7.7513359375000004</v>
      </c>
      <c r="BV24" s="202">
        <f>BB24/AU24</f>
        <v>14.939799479166666</v>
      </c>
      <c r="BW24" s="24">
        <f>BR24+BS24+BT24-BU24+BV24</f>
        <v>69.928838541666664</v>
      </c>
    </row>
    <row r="25" spans="2:90" ht="15" customHeight="1" x14ac:dyDescent="0.25">
      <c r="B25" s="176" t="s">
        <v>201</v>
      </c>
      <c r="C25" s="2" t="s">
        <v>172</v>
      </c>
      <c r="D25" s="2">
        <v>17</v>
      </c>
      <c r="E25" s="112" t="s">
        <v>192</v>
      </c>
      <c r="I25" s="112"/>
      <c r="N25" s="454"/>
      <c r="O25" s="80" t="s">
        <v>205</v>
      </c>
      <c r="P25" s="99"/>
      <c r="Q25" s="122"/>
      <c r="R25" s="122"/>
      <c r="S25" s="122"/>
      <c r="T25" s="122"/>
      <c r="U25" s="122"/>
      <c r="V25" s="122"/>
      <c r="W25" s="122"/>
      <c r="X25" s="15"/>
      <c r="Y25" s="122"/>
      <c r="Z25" s="205"/>
      <c r="AA25" s="205"/>
      <c r="AB25" s="205"/>
      <c r="AC25" s="205"/>
      <c r="AD25" s="122"/>
      <c r="AF25" s="79"/>
      <c r="AG25" s="206"/>
      <c r="AH25" s="207"/>
      <c r="AI25" s="207"/>
      <c r="AJ25" s="207"/>
      <c r="AK25" s="207"/>
      <c r="AL25" s="83"/>
      <c r="AM25" s="109"/>
      <c r="AN25" s="79"/>
      <c r="AO25" s="79"/>
      <c r="AP25" s="81"/>
      <c r="AQ25" s="81"/>
      <c r="AR25" s="109"/>
      <c r="AS25" s="109"/>
      <c r="AT25" s="207"/>
      <c r="AU25" s="207"/>
      <c r="AV25" s="207"/>
      <c r="AW25" s="207"/>
      <c r="AX25" s="207"/>
      <c r="AY25" s="207"/>
      <c r="AZ25" s="207"/>
      <c r="BA25" s="208"/>
      <c r="BB25" s="3"/>
      <c r="BC25" s="58"/>
      <c r="BD25" s="34"/>
    </row>
    <row r="26" spans="2:90" ht="15" customHeight="1" x14ac:dyDescent="0.25">
      <c r="I26" s="112"/>
      <c r="N26" s="455"/>
      <c r="O26" s="44" t="s">
        <v>194</v>
      </c>
      <c r="P26" s="106">
        <v>4</v>
      </c>
      <c r="Q26" s="26">
        <v>0.3</v>
      </c>
      <c r="R26" s="26">
        <v>0.2</v>
      </c>
      <c r="S26" s="26">
        <f>MAX(Q26:R26)</f>
        <v>0.3</v>
      </c>
      <c r="T26" s="26">
        <f>ROUNDUP((S26/2),1)</f>
        <v>0.2</v>
      </c>
      <c r="U26" s="26">
        <f>0.15</f>
        <v>0.15</v>
      </c>
      <c r="V26" s="26">
        <f>MAX(T26:U26)</f>
        <v>0.2</v>
      </c>
      <c r="W26" s="26">
        <f>1.2*D$21*S26*V26</f>
        <v>1.7279999999999998</v>
      </c>
      <c r="X26" s="24"/>
      <c r="Y26" s="26">
        <f>1.2*D$24*D$25*D$23</f>
        <v>10.71</v>
      </c>
      <c r="Z26" s="24">
        <f>SUM(W26:Y26)</f>
        <v>12.438000000000001</v>
      </c>
      <c r="AA26" s="24">
        <f>1/12*Z26*(P26)^2</f>
        <v>16.584</v>
      </c>
      <c r="AB26" s="24">
        <f>1/2*Z26*P26</f>
        <v>24.876000000000001</v>
      </c>
      <c r="AC26" s="24">
        <f>1/2*Z26*P26</f>
        <v>24.876000000000001</v>
      </c>
      <c r="AD26" s="201"/>
      <c r="AT26" s="208"/>
      <c r="AU26" s="208"/>
      <c r="AV26" s="208"/>
      <c r="AW26" s="208"/>
      <c r="AX26" s="208"/>
      <c r="AY26" s="208"/>
      <c r="AZ26" s="208"/>
      <c r="BA26" s="208"/>
      <c r="BB26" s="3"/>
      <c r="BC26" s="58"/>
      <c r="BD26" s="58"/>
      <c r="BE26" s="34"/>
    </row>
    <row r="27" spans="2:90" ht="15" customHeight="1" x14ac:dyDescent="0.25">
      <c r="I27" s="112"/>
      <c r="N27" s="453" t="s">
        <v>206</v>
      </c>
      <c r="O27" s="80" t="s">
        <v>205</v>
      </c>
      <c r="P27" s="99"/>
      <c r="Q27" s="122"/>
      <c r="R27" s="122"/>
      <c r="S27" s="122"/>
      <c r="T27" s="122"/>
      <c r="U27" s="122"/>
      <c r="V27" s="122"/>
      <c r="W27" s="122"/>
      <c r="X27" s="15" t="s">
        <v>207</v>
      </c>
      <c r="Y27" s="122"/>
      <c r="Z27" s="205"/>
      <c r="AA27" s="205"/>
      <c r="AB27" s="205"/>
      <c r="AC27" s="205"/>
      <c r="AD27" s="209"/>
      <c r="AV27" s="208"/>
      <c r="AX27" s="211"/>
      <c r="AY27" s="212"/>
      <c r="AZ27" s="208"/>
      <c r="BA27" s="208"/>
      <c r="BB27" s="208"/>
      <c r="BC27" s="3"/>
      <c r="BD27" s="58"/>
      <c r="BE27" s="34"/>
    </row>
    <row r="28" spans="2:90" ht="15" customHeight="1" x14ac:dyDescent="0.25">
      <c r="B28" s="112" t="s">
        <v>195</v>
      </c>
      <c r="C28" s="215" t="s">
        <v>172</v>
      </c>
      <c r="D28" s="215" t="s">
        <v>196</v>
      </c>
      <c r="E28" s="215"/>
      <c r="F28" s="112" t="s">
        <v>542</v>
      </c>
      <c r="I28" s="112"/>
      <c r="N28" s="455"/>
      <c r="O28" s="44" t="s">
        <v>194</v>
      </c>
      <c r="P28" s="106">
        <v>4</v>
      </c>
      <c r="Q28" s="26">
        <v>0.3</v>
      </c>
      <c r="R28" s="26">
        <v>0.2</v>
      </c>
      <c r="S28" s="26">
        <f>MAX(Q28:R28)</f>
        <v>0.3</v>
      </c>
      <c r="T28" s="26">
        <f>S28/2</f>
        <v>0.15</v>
      </c>
      <c r="U28" s="26">
        <f>0.15</f>
        <v>0.15</v>
      </c>
      <c r="V28" s="26">
        <f>MAX(T28:U28)</f>
        <v>0.15</v>
      </c>
      <c r="W28" s="26">
        <f>1.2*D$21*S28*V28</f>
        <v>1.2959999999999998</v>
      </c>
      <c r="X28" s="24">
        <f>M10</f>
        <v>5.7044456250000009</v>
      </c>
      <c r="Y28" s="26"/>
      <c r="Z28" s="24">
        <f>SUM(W28:Y28)</f>
        <v>7.0004456250000011</v>
      </c>
      <c r="AA28" s="24">
        <f>1/12*Z28*(P28)^2</f>
        <v>9.3339275000000015</v>
      </c>
      <c r="AB28" s="24">
        <f>1/2*Z28*P28</f>
        <v>14.000891250000002</v>
      </c>
      <c r="AC28" s="24">
        <f>1/2*Z28*P28</f>
        <v>14.000891250000002</v>
      </c>
      <c r="AD28" s="213"/>
      <c r="AX28" s="112"/>
      <c r="BD28" s="58"/>
      <c r="BE28" s="34"/>
    </row>
    <row r="29" spans="2:90" x14ac:dyDescent="0.25">
      <c r="C29" s="216" t="s">
        <v>172</v>
      </c>
      <c r="D29" s="216" t="s">
        <v>198</v>
      </c>
      <c r="E29" s="216"/>
      <c r="I29" s="112"/>
      <c r="N29" s="453" t="s">
        <v>208</v>
      </c>
      <c r="O29" s="80" t="s">
        <v>202</v>
      </c>
      <c r="P29" s="99"/>
      <c r="Q29" s="15"/>
      <c r="R29" s="15"/>
      <c r="S29" s="15"/>
      <c r="T29" s="15"/>
      <c r="U29" s="15"/>
      <c r="V29" s="15"/>
      <c r="W29" s="15"/>
      <c r="X29" s="2" t="s">
        <v>203</v>
      </c>
      <c r="Y29" s="15"/>
      <c r="Z29" s="16"/>
      <c r="AA29" s="16"/>
      <c r="AB29" s="16"/>
      <c r="AC29" s="16"/>
      <c r="AD29" s="122"/>
      <c r="AX29" s="125"/>
      <c r="AY29" s="125"/>
      <c r="AZ29" s="125"/>
      <c r="BA29" s="125"/>
      <c r="BB29" s="125"/>
      <c r="BD29" s="125"/>
      <c r="BE29" s="3"/>
    </row>
    <row r="30" spans="2:90" x14ac:dyDescent="0.25">
      <c r="I30" s="112"/>
      <c r="N30" s="454"/>
      <c r="O30" s="44" t="s">
        <v>194</v>
      </c>
      <c r="P30" s="106">
        <v>1.5</v>
      </c>
      <c r="Q30" s="26">
        <v>0.4</v>
      </c>
      <c r="R30" s="26">
        <v>0.2</v>
      </c>
      <c r="S30" s="26">
        <f>MAX(Q30:R30)</f>
        <v>0.4</v>
      </c>
      <c r="T30" s="26">
        <v>0.25</v>
      </c>
      <c r="U30" s="26">
        <f>0.15</f>
        <v>0.15</v>
      </c>
      <c r="V30" s="26">
        <f>MAX(T30:U30)</f>
        <v>0.25</v>
      </c>
      <c r="W30" s="26">
        <f>1.2*D$21*S30*V30</f>
        <v>2.88</v>
      </c>
      <c r="X30" s="171">
        <f>L7</f>
        <v>3.1619999999999999</v>
      </c>
      <c r="Y30" s="26"/>
      <c r="Z30" s="24">
        <f>SUM(W30:Y30)</f>
        <v>6.0419999999999998</v>
      </c>
      <c r="AA30" s="24">
        <f>1/12*Z30*(P30)^2</f>
        <v>1.1328749999999999</v>
      </c>
      <c r="AB30" s="24">
        <f>1/2*Z30*P30</f>
        <v>4.5314999999999994</v>
      </c>
      <c r="AC30" s="24">
        <f>1/2*Z30*P30</f>
        <v>4.5314999999999994</v>
      </c>
      <c r="AD30" s="201"/>
      <c r="AX30" s="125"/>
      <c r="AY30" s="125"/>
      <c r="AZ30" s="125"/>
      <c r="BA30" s="125"/>
      <c r="BB30" s="125"/>
      <c r="BD30" s="125"/>
      <c r="BE30" s="3"/>
    </row>
    <row r="31" spans="2:90" ht="15" customHeight="1" x14ac:dyDescent="0.25">
      <c r="I31" s="112"/>
      <c r="N31" s="454"/>
      <c r="O31" s="341" t="s">
        <v>197</v>
      </c>
      <c r="P31" s="342"/>
      <c r="Q31" s="343"/>
      <c r="R31" s="343"/>
      <c r="S31" s="343"/>
      <c r="T31" s="343"/>
      <c r="U31" s="343"/>
      <c r="V31" s="343"/>
      <c r="W31" s="343"/>
      <c r="X31" s="343" t="s">
        <v>209</v>
      </c>
      <c r="Y31" s="343"/>
      <c r="Z31" s="344"/>
      <c r="AA31" s="344"/>
      <c r="AB31" s="344"/>
      <c r="AC31" s="344"/>
      <c r="AD31" s="345"/>
      <c r="AV31" s="3"/>
      <c r="AX31" s="125"/>
      <c r="AY31" s="3"/>
      <c r="AZ31" s="145"/>
      <c r="BA31" s="64"/>
      <c r="BB31" s="64"/>
      <c r="BC31" s="3"/>
      <c r="BE31" s="3"/>
    </row>
    <row r="32" spans="2:90" ht="15" customHeight="1" x14ac:dyDescent="0.25">
      <c r="I32" s="112"/>
      <c r="N32" s="454"/>
      <c r="O32" s="346" t="s">
        <v>194</v>
      </c>
      <c r="P32" s="347">
        <v>3.5</v>
      </c>
      <c r="Q32" s="348">
        <v>0.4</v>
      </c>
      <c r="R32" s="348">
        <v>0.2</v>
      </c>
      <c r="S32" s="348">
        <f>MAX(Q32:R32)</f>
        <v>0.4</v>
      </c>
      <c r="T32" s="348">
        <v>0.25</v>
      </c>
      <c r="U32" s="348">
        <f>0.15</f>
        <v>0.15</v>
      </c>
      <c r="V32" s="348">
        <f>MAX(T32:U32)</f>
        <v>0.25</v>
      </c>
      <c r="W32" s="348">
        <f>1.2*D$21*S32*V32</f>
        <v>2.88</v>
      </c>
      <c r="X32" s="349">
        <f>M8+L9</f>
        <v>14.605428571428574</v>
      </c>
      <c r="Y32" s="348">
        <f>1.2*D$24*D$25*D$23</f>
        <v>10.71</v>
      </c>
      <c r="Z32" s="349">
        <f>SUM(W32:Y32)</f>
        <v>28.195428571428575</v>
      </c>
      <c r="AA32" s="349">
        <f>1/12*Z32*(P32)^2</f>
        <v>28.782833333333336</v>
      </c>
      <c r="AB32" s="349">
        <f>1/2*Z32*P32</f>
        <v>49.342000000000006</v>
      </c>
      <c r="AC32" s="349">
        <f>1/2*Z32*P32</f>
        <v>49.342000000000006</v>
      </c>
      <c r="AD32" s="350"/>
      <c r="AV32" s="3"/>
      <c r="AW32" s="217"/>
      <c r="AX32" s="125"/>
      <c r="AY32" s="144"/>
      <c r="AZ32" s="145"/>
      <c r="BA32" s="60"/>
      <c r="BB32" s="60"/>
      <c r="BC32" s="60"/>
      <c r="BD32" s="125"/>
      <c r="BE32" s="58"/>
    </row>
    <row r="33" spans="2:94" ht="15" customHeight="1" x14ac:dyDescent="0.25">
      <c r="I33" s="112"/>
      <c r="N33" s="454"/>
      <c r="O33" s="11" t="s">
        <v>205</v>
      </c>
      <c r="P33" s="245"/>
      <c r="Q33" s="420"/>
      <c r="R33" s="420"/>
      <c r="S33" s="420"/>
      <c r="T33" s="420"/>
      <c r="U33" s="420"/>
      <c r="V33" s="420"/>
      <c r="W33" s="420"/>
      <c r="X33" s="175"/>
      <c r="Y33" s="420"/>
      <c r="Z33" s="421"/>
      <c r="AA33" s="421"/>
      <c r="AB33" s="421"/>
      <c r="AC33" s="421"/>
      <c r="AD33" s="420"/>
      <c r="AV33" s="3"/>
      <c r="AX33" s="125"/>
      <c r="AY33" s="3"/>
      <c r="AZ33" s="145"/>
      <c r="BA33" s="64"/>
      <c r="BB33" s="64"/>
      <c r="BC33" s="64"/>
      <c r="BD33" s="64"/>
      <c r="BE33" s="58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  <c r="BR33" s="125"/>
      <c r="BS33" s="125"/>
      <c r="BT33" s="125"/>
      <c r="BU33" s="125"/>
      <c r="BV33" s="125"/>
      <c r="BW33" s="125"/>
      <c r="BX33" s="125"/>
      <c r="BY33" s="125"/>
      <c r="BZ33" s="125"/>
      <c r="CA33" s="125"/>
      <c r="CB33" s="125"/>
      <c r="CC33" s="125"/>
      <c r="CD33" s="125"/>
      <c r="CE33" s="125"/>
      <c r="CF33" s="125"/>
      <c r="CG33" s="125"/>
      <c r="CH33" s="125"/>
      <c r="CI33" s="125"/>
      <c r="CJ33" s="125"/>
      <c r="CK33" s="125"/>
      <c r="CL33" s="125"/>
      <c r="CM33" s="125"/>
      <c r="CN33" s="125"/>
      <c r="CO33" s="125"/>
      <c r="CP33" s="125"/>
    </row>
    <row r="34" spans="2:94" ht="15" customHeight="1" x14ac:dyDescent="0.25">
      <c r="I34" s="112"/>
      <c r="N34" s="455"/>
      <c r="O34" s="14" t="s">
        <v>194</v>
      </c>
      <c r="P34" s="244">
        <v>4</v>
      </c>
      <c r="Q34" s="315">
        <v>0.4</v>
      </c>
      <c r="R34" s="315">
        <v>0.2</v>
      </c>
      <c r="S34" s="315">
        <v>0.4</v>
      </c>
      <c r="T34" s="315">
        <v>0.25</v>
      </c>
      <c r="U34" s="315">
        <f>0.15</f>
        <v>0.15</v>
      </c>
      <c r="V34" s="315">
        <v>0.25</v>
      </c>
      <c r="W34" s="315"/>
      <c r="X34" s="317"/>
      <c r="Y34" s="315"/>
      <c r="Z34" s="317"/>
      <c r="AA34" s="317"/>
      <c r="AB34" s="317"/>
      <c r="AC34" s="317"/>
      <c r="AD34" s="422"/>
      <c r="AV34" s="3"/>
      <c r="AW34" s="217"/>
      <c r="AX34" s="125"/>
      <c r="AY34" s="144"/>
      <c r="AZ34" s="145"/>
      <c r="BA34" s="60"/>
      <c r="BB34" s="60"/>
      <c r="BC34" s="60"/>
      <c r="BD34" s="60"/>
      <c r="BE34" s="3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5"/>
      <c r="CL34" s="125"/>
      <c r="CM34" s="125"/>
      <c r="CN34" s="125"/>
      <c r="CO34" s="125"/>
      <c r="CP34" s="125"/>
    </row>
    <row r="35" spans="2:94" ht="15" customHeight="1" x14ac:dyDescent="0.25">
      <c r="I35" s="112"/>
      <c r="N35" s="453" t="s">
        <v>210</v>
      </c>
      <c r="O35" s="80" t="s">
        <v>211</v>
      </c>
      <c r="P35" s="99"/>
      <c r="Q35" s="122"/>
      <c r="R35" s="122"/>
      <c r="S35" s="122"/>
      <c r="T35" s="122"/>
      <c r="U35" s="122"/>
      <c r="V35" s="122"/>
      <c r="W35" s="122"/>
      <c r="X35" s="15" t="s">
        <v>242</v>
      </c>
      <c r="Y35" s="122"/>
      <c r="Z35" s="205"/>
      <c r="AA35" s="205"/>
      <c r="AB35" s="205"/>
      <c r="AC35" s="205"/>
      <c r="AD35" s="209"/>
      <c r="AV35" s="3"/>
      <c r="AX35" s="125"/>
      <c r="AY35" s="3"/>
      <c r="AZ35" s="145"/>
      <c r="BA35" s="64"/>
      <c r="BB35" s="64"/>
      <c r="BC35" s="64"/>
      <c r="BD35" s="64"/>
      <c r="BE35" s="3"/>
      <c r="BF35" s="125"/>
      <c r="BG35" s="3"/>
      <c r="BH35" s="145"/>
      <c r="BI35" s="145"/>
      <c r="BJ35" s="145"/>
      <c r="BK35" s="145"/>
      <c r="BL35" s="145"/>
      <c r="BM35" s="145"/>
      <c r="BN35" s="145"/>
      <c r="BO35" s="145"/>
      <c r="BP35" s="145"/>
      <c r="BQ35" s="145"/>
      <c r="BR35" s="145"/>
      <c r="BS35" s="145"/>
      <c r="BT35" s="145"/>
      <c r="BU35" s="145"/>
      <c r="BV35" s="145"/>
      <c r="BW35" s="145"/>
      <c r="BX35" s="145"/>
      <c r="BY35" s="145"/>
      <c r="BZ35" s="145"/>
      <c r="CA35" s="145"/>
      <c r="CB35" s="145"/>
      <c r="CC35" s="145"/>
      <c r="CD35" s="145"/>
      <c r="CE35" s="145"/>
      <c r="CF35" s="145"/>
      <c r="CG35" s="145"/>
      <c r="CH35" s="145"/>
      <c r="CI35" s="145"/>
      <c r="CJ35" s="145"/>
      <c r="CK35" s="145"/>
      <c r="CL35" s="145"/>
      <c r="CM35" s="220"/>
      <c r="CN35" s="64"/>
      <c r="CO35" s="64"/>
      <c r="CP35" s="64"/>
    </row>
    <row r="36" spans="2:94" ht="15" customHeight="1" x14ac:dyDescent="0.25">
      <c r="I36" s="112"/>
      <c r="N36" s="455"/>
      <c r="O36" s="44" t="s">
        <v>194</v>
      </c>
      <c r="P36" s="106">
        <v>2.5</v>
      </c>
      <c r="Q36" s="26">
        <v>0.25</v>
      </c>
      <c r="R36" s="26">
        <v>0.2</v>
      </c>
      <c r="S36" s="26">
        <f>MAX(Q36:R36)</f>
        <v>0.25</v>
      </c>
      <c r="T36" s="26">
        <f>S36/2</f>
        <v>0.125</v>
      </c>
      <c r="U36" s="26">
        <f>0.15</f>
        <v>0.15</v>
      </c>
      <c r="V36" s="26">
        <f>MAX(T36:U36)</f>
        <v>0.15</v>
      </c>
      <c r="W36" s="26">
        <f>1.2*D$21*S36*V36</f>
        <v>1.0799999999999998</v>
      </c>
      <c r="X36" s="24">
        <f>M13</f>
        <v>5.0591999999999997</v>
      </c>
      <c r="Y36" s="26">
        <f>1.2*1*D$25*D$23</f>
        <v>3.0599999999999996</v>
      </c>
      <c r="Z36" s="24">
        <f>SUM(W36:Y36)</f>
        <v>9.1991999999999994</v>
      </c>
      <c r="AA36" s="24">
        <f>1/12*Z36*(P36)^2</f>
        <v>4.7912499999999998</v>
      </c>
      <c r="AB36" s="24">
        <f>1/2*Z36*P36</f>
        <v>11.498999999999999</v>
      </c>
      <c r="AC36" s="24">
        <f>1/2*Z36*P36</f>
        <v>11.498999999999999</v>
      </c>
      <c r="AD36" s="213"/>
      <c r="AV36" s="3"/>
      <c r="AW36" s="217"/>
      <c r="AX36" s="125"/>
      <c r="AY36" s="144"/>
      <c r="AZ36" s="145"/>
      <c r="BB36" s="195"/>
      <c r="BD36" s="60"/>
      <c r="BE36" s="3"/>
      <c r="BF36" s="125"/>
      <c r="BG36" s="144"/>
      <c r="BH36" s="145"/>
      <c r="BI36" s="145"/>
      <c r="BJ36" s="145"/>
      <c r="BK36" s="145"/>
      <c r="BL36" s="145"/>
      <c r="BM36" s="145"/>
      <c r="BN36" s="145"/>
      <c r="BO36" s="145"/>
      <c r="BP36" s="145"/>
      <c r="BQ36" s="145"/>
      <c r="BR36" s="145"/>
      <c r="BS36" s="145"/>
      <c r="BT36" s="145"/>
      <c r="BU36" s="145"/>
      <c r="BV36" s="145"/>
      <c r="BW36" s="145"/>
      <c r="BX36" s="145"/>
      <c r="BY36" s="145"/>
      <c r="BZ36" s="145"/>
      <c r="CA36" s="145"/>
      <c r="CB36" s="145"/>
      <c r="CC36" s="145"/>
      <c r="CD36" s="145"/>
      <c r="CE36" s="145"/>
      <c r="CF36" s="145"/>
      <c r="CG36" s="145"/>
      <c r="CH36" s="145"/>
      <c r="CI36" s="145"/>
      <c r="CJ36" s="145"/>
      <c r="CK36" s="145"/>
      <c r="CL36" s="145"/>
      <c r="CM36" s="60"/>
      <c r="CN36" s="60"/>
      <c r="CO36" s="60"/>
      <c r="CP36" s="60"/>
    </row>
    <row r="37" spans="2:94" ht="15" customHeight="1" x14ac:dyDescent="0.25">
      <c r="I37" s="112"/>
      <c r="N37" s="453" t="s">
        <v>212</v>
      </c>
      <c r="O37" s="80" t="s">
        <v>197</v>
      </c>
      <c r="P37" s="99"/>
      <c r="Q37" s="15"/>
      <c r="R37" s="15"/>
      <c r="S37" s="15"/>
      <c r="T37" s="15"/>
      <c r="U37" s="15"/>
      <c r="V37" s="15"/>
      <c r="W37" s="15"/>
      <c r="X37" s="15" t="s">
        <v>213</v>
      </c>
      <c r="Y37" s="15"/>
      <c r="Z37" s="16"/>
      <c r="AA37" s="16"/>
      <c r="AB37" s="16"/>
      <c r="AC37" s="16"/>
      <c r="AD37" s="122"/>
      <c r="AG37" s="125"/>
      <c r="AH37" s="3"/>
      <c r="AI37" s="145"/>
      <c r="AJ37" s="64"/>
      <c r="AK37" s="64"/>
      <c r="AL37" s="64"/>
      <c r="AM37" s="64"/>
      <c r="AO37" s="125"/>
      <c r="AP37" s="3"/>
      <c r="AQ37" s="145"/>
      <c r="AR37" s="220"/>
      <c r="AS37" s="64"/>
      <c r="AT37" s="64"/>
      <c r="AU37" s="64"/>
      <c r="AX37" s="112"/>
      <c r="BE37" s="3"/>
    </row>
    <row r="38" spans="2:94" ht="15" customHeight="1" x14ac:dyDescent="0.25">
      <c r="I38" s="112"/>
      <c r="N38" s="454"/>
      <c r="O38" s="44" t="s">
        <v>194</v>
      </c>
      <c r="P38" s="106">
        <v>3.5</v>
      </c>
      <c r="Q38" s="26">
        <v>0.4</v>
      </c>
      <c r="R38" s="26">
        <v>0.2</v>
      </c>
      <c r="S38" s="26">
        <f>MAX(Q38:R38)</f>
        <v>0.4</v>
      </c>
      <c r="T38" s="26">
        <v>0.25</v>
      </c>
      <c r="U38" s="26">
        <f>0.15</f>
        <v>0.15</v>
      </c>
      <c r="V38" s="26">
        <f>MAX(T38:U38)</f>
        <v>0.25</v>
      </c>
      <c r="W38" s="26">
        <f>1.2*D$21*S38*V38</f>
        <v>2.88</v>
      </c>
      <c r="X38" s="24">
        <f>L9</f>
        <v>7.3780000000000001</v>
      </c>
      <c r="Y38" s="26">
        <f>1.2*D$24*D$25*D$23</f>
        <v>10.71</v>
      </c>
      <c r="Z38" s="24">
        <f>SUM(W38:Y38)</f>
        <v>20.968</v>
      </c>
      <c r="AA38" s="24">
        <f>1/12*Z38*(P38)^2</f>
        <v>21.404833333333332</v>
      </c>
      <c r="AB38" s="24">
        <f>1/2*Z38*P38</f>
        <v>36.694000000000003</v>
      </c>
      <c r="AC38" s="24">
        <f>1/2*Z38*P38</f>
        <v>36.694000000000003</v>
      </c>
      <c r="AD38" s="201"/>
      <c r="AF38" s="217"/>
      <c r="AG38" s="125"/>
      <c r="AH38" s="144"/>
      <c r="AI38" s="145"/>
      <c r="AJ38" s="60"/>
      <c r="AK38" s="60"/>
      <c r="AL38" s="60"/>
      <c r="AM38" s="60"/>
      <c r="AO38" s="125"/>
      <c r="AP38" s="144"/>
      <c r="AQ38" s="145"/>
      <c r="AR38" s="60"/>
      <c r="AS38" s="60"/>
      <c r="AT38" s="60"/>
      <c r="AU38" s="60"/>
      <c r="AX38" s="112"/>
      <c r="BB38" s="195"/>
      <c r="BE38" s="3"/>
    </row>
    <row r="39" spans="2:94" ht="15" customHeight="1" x14ac:dyDescent="0.25">
      <c r="I39" s="112"/>
      <c r="N39" s="454"/>
      <c r="O39" s="80" t="s">
        <v>205</v>
      </c>
      <c r="P39" s="99"/>
      <c r="Q39" s="122"/>
      <c r="R39" s="122"/>
      <c r="S39" s="122"/>
      <c r="T39" s="15"/>
      <c r="U39" s="122"/>
      <c r="V39" s="122"/>
      <c r="W39" s="122"/>
      <c r="X39" s="15"/>
      <c r="Y39" s="122"/>
      <c r="Z39" s="205"/>
      <c r="AA39" s="205"/>
      <c r="AB39" s="205"/>
      <c r="AC39" s="205"/>
      <c r="AD39" s="218"/>
      <c r="AO39" s="125"/>
      <c r="AP39" s="3"/>
      <c r="AQ39" s="145"/>
      <c r="AR39" s="220"/>
      <c r="AS39" s="64"/>
      <c r="AT39" s="64"/>
      <c r="AU39" s="64"/>
      <c r="AX39" s="112"/>
      <c r="BE39" s="3"/>
    </row>
    <row r="40" spans="2:94" ht="15" customHeight="1" x14ac:dyDescent="0.25">
      <c r="I40" s="112"/>
      <c r="N40" s="454"/>
      <c r="O40" s="44" t="s">
        <v>194</v>
      </c>
      <c r="P40" s="106">
        <v>4</v>
      </c>
      <c r="Q40" s="26">
        <v>0.4</v>
      </c>
      <c r="R40" s="26">
        <v>0.2</v>
      </c>
      <c r="S40" s="26">
        <f>MAX(Q40:R40)</f>
        <v>0.4</v>
      </c>
      <c r="T40" s="26">
        <v>0.25</v>
      </c>
      <c r="U40" s="26">
        <f>0.15</f>
        <v>0.15</v>
      </c>
      <c r="V40" s="26">
        <f>MAX(T40:U40)</f>
        <v>0.25</v>
      </c>
      <c r="W40" s="26"/>
      <c r="X40" s="24"/>
      <c r="Y40" s="26"/>
      <c r="Z40" s="24"/>
      <c r="AA40" s="24"/>
      <c r="AB40" s="24"/>
      <c r="AC40" s="24"/>
      <c r="AD40" s="219"/>
      <c r="AO40" s="125"/>
      <c r="AP40" s="144"/>
      <c r="AQ40" s="145"/>
      <c r="AR40" s="60"/>
      <c r="AS40" s="60"/>
      <c r="AT40" s="60"/>
      <c r="AU40" s="60"/>
      <c r="AX40" s="112"/>
      <c r="BE40" s="3"/>
    </row>
    <row r="41" spans="2:94" ht="15" customHeight="1" x14ac:dyDescent="0.25">
      <c r="I41" s="112"/>
      <c r="N41" s="454"/>
      <c r="O41" s="80" t="s">
        <v>211</v>
      </c>
      <c r="P41" s="99"/>
      <c r="Q41" s="122"/>
      <c r="R41" s="122"/>
      <c r="S41" s="122"/>
      <c r="T41" s="122"/>
      <c r="U41" s="122"/>
      <c r="V41" s="122"/>
      <c r="W41" s="122"/>
      <c r="X41" s="15" t="s">
        <v>242</v>
      </c>
      <c r="Y41" s="122"/>
      <c r="Z41" s="205"/>
      <c r="AA41" s="205"/>
      <c r="AB41" s="205"/>
      <c r="AC41" s="205"/>
      <c r="AD41" s="122"/>
      <c r="AG41" s="125"/>
      <c r="AH41" s="125"/>
      <c r="AI41" s="125"/>
      <c r="AJ41" s="125"/>
      <c r="AK41" s="125"/>
      <c r="AL41" s="125"/>
      <c r="AM41" s="125"/>
      <c r="AO41" s="125"/>
      <c r="AP41" s="3"/>
      <c r="AQ41" s="145"/>
      <c r="AR41" s="220"/>
      <c r="AS41" s="64"/>
      <c r="AT41" s="64"/>
      <c r="AU41" s="64"/>
      <c r="AX41" s="112"/>
      <c r="BE41" s="3"/>
    </row>
    <row r="42" spans="2:94" ht="15" customHeight="1" x14ac:dyDescent="0.25">
      <c r="I42" s="112"/>
      <c r="N42" s="455"/>
      <c r="O42" s="44" t="s">
        <v>194</v>
      </c>
      <c r="P42" s="106">
        <v>2.5</v>
      </c>
      <c r="Q42" s="26">
        <v>0.4</v>
      </c>
      <c r="R42" s="26">
        <v>0.2</v>
      </c>
      <c r="S42" s="26">
        <f>MAX(Q42:R42)</f>
        <v>0.4</v>
      </c>
      <c r="T42" s="26">
        <v>0.25</v>
      </c>
      <c r="U42" s="26">
        <f>0.15</f>
        <v>0.15</v>
      </c>
      <c r="V42" s="26">
        <f>MAX(T42:U42)</f>
        <v>0.25</v>
      </c>
      <c r="W42" s="26">
        <f>1.2*D$21*S42*V42</f>
        <v>2.88</v>
      </c>
      <c r="X42" s="24">
        <f>M13</f>
        <v>5.0591999999999997</v>
      </c>
      <c r="Y42" s="26">
        <f>1.2*1*D$25*D$23</f>
        <v>3.0599999999999996</v>
      </c>
      <c r="Z42" s="24">
        <f>SUM(W42:Y42)</f>
        <v>10.999199999999998</v>
      </c>
      <c r="AA42" s="24">
        <f>1/12*Z42*(P42)^2</f>
        <v>5.7287499999999989</v>
      </c>
      <c r="AB42" s="24">
        <f>1/2*Z42*P42</f>
        <v>13.748999999999999</v>
      </c>
      <c r="AC42" s="24">
        <f>1/2*Z42*P42</f>
        <v>13.748999999999999</v>
      </c>
      <c r="AD42" s="201"/>
      <c r="AF42" s="64"/>
      <c r="AG42" s="125"/>
      <c r="AH42" s="125"/>
      <c r="AI42" s="125"/>
      <c r="AJ42" s="125"/>
      <c r="AK42" s="125"/>
      <c r="AL42" s="125"/>
      <c r="AM42" s="125"/>
      <c r="AO42" s="125"/>
      <c r="AP42" s="144"/>
      <c r="AQ42" s="145"/>
      <c r="AR42" s="60"/>
      <c r="AS42" s="60"/>
      <c r="AT42" s="60"/>
      <c r="AU42" s="60"/>
      <c r="AX42" s="112"/>
      <c r="BE42" s="3"/>
    </row>
    <row r="43" spans="2:94" ht="15" customHeight="1" x14ac:dyDescent="0.25">
      <c r="I43" s="112"/>
      <c r="P43" s="58"/>
      <c r="Q43" s="112"/>
      <c r="X43" s="3"/>
      <c r="AF43" s="64"/>
      <c r="AG43" s="125"/>
      <c r="AH43" s="3"/>
      <c r="AI43" s="145"/>
      <c r="AJ43" s="220"/>
      <c r="AK43" s="64"/>
      <c r="AL43" s="64"/>
      <c r="AM43" s="64"/>
      <c r="AX43" s="112"/>
      <c r="BE43" s="3"/>
    </row>
    <row r="44" spans="2:94" ht="15" customHeight="1" x14ac:dyDescent="0.25">
      <c r="I44" s="112"/>
      <c r="P44" s="58"/>
      <c r="Q44" s="112"/>
      <c r="X44" s="3"/>
      <c r="AG44" s="125"/>
      <c r="AH44" s="144"/>
      <c r="AI44" s="145"/>
      <c r="AJ44" s="60"/>
      <c r="AK44" s="60"/>
      <c r="AL44" s="60"/>
      <c r="AM44" s="60"/>
      <c r="AX44" s="112"/>
      <c r="BE44" s="3"/>
    </row>
    <row r="45" spans="2:94" x14ac:dyDescent="0.25">
      <c r="B45" s="125" t="s">
        <v>468</v>
      </c>
      <c r="I45" s="112"/>
      <c r="P45" s="58"/>
      <c r="Q45" s="112"/>
      <c r="X45" s="3"/>
      <c r="AF45" s="125" t="s">
        <v>469</v>
      </c>
      <c r="AG45" s="125"/>
      <c r="AH45" s="125"/>
      <c r="AI45" s="125"/>
      <c r="AJ45" s="125"/>
      <c r="AK45" s="125"/>
      <c r="AL45" s="125"/>
      <c r="AX45" s="112"/>
      <c r="BD45" s="3"/>
      <c r="BH45" s="210" t="s">
        <v>464</v>
      </c>
      <c r="BI45" s="145"/>
      <c r="BJ45" s="145"/>
      <c r="BK45" s="208"/>
      <c r="BL45" s="208"/>
      <c r="BM45" s="208"/>
      <c r="BN45" s="208"/>
      <c r="BO45" s="60"/>
      <c r="BS45" s="60"/>
      <c r="BT45" s="60"/>
      <c r="BW45" s="208"/>
    </row>
    <row r="46" spans="2:94" x14ac:dyDescent="0.25">
      <c r="I46" s="112"/>
      <c r="P46" s="58"/>
      <c r="Q46" s="112"/>
      <c r="X46" s="3"/>
      <c r="AX46" s="112"/>
      <c r="BD46" s="3"/>
      <c r="BH46" s="214"/>
      <c r="BI46" s="3"/>
      <c r="BJ46" s="145"/>
      <c r="BK46" s="208"/>
      <c r="BL46" s="208"/>
      <c r="BM46" s="208"/>
      <c r="BN46" s="208"/>
      <c r="BO46" s="60"/>
      <c r="BQ46" s="64"/>
      <c r="BR46" s="64"/>
      <c r="BS46" s="3"/>
      <c r="BT46" s="3"/>
    </row>
    <row r="47" spans="2:94" ht="15" customHeight="1" x14ac:dyDescent="0.25">
      <c r="I47" s="112"/>
      <c r="N47" s="447" t="s">
        <v>173</v>
      </c>
      <c r="O47" s="448"/>
      <c r="P47" s="449"/>
      <c r="Q47" s="11" t="s">
        <v>174</v>
      </c>
      <c r="R47" s="11" t="s">
        <v>175</v>
      </c>
      <c r="S47" s="11" t="s">
        <v>176</v>
      </c>
      <c r="T47" s="11" t="s">
        <v>114</v>
      </c>
      <c r="U47" s="11" t="s">
        <v>177</v>
      </c>
      <c r="V47" s="11" t="s">
        <v>178</v>
      </c>
      <c r="W47" s="11" t="s">
        <v>179</v>
      </c>
      <c r="X47" s="11" t="s">
        <v>180</v>
      </c>
      <c r="Y47" s="11" t="s">
        <v>181</v>
      </c>
      <c r="Z47" s="11" t="s">
        <v>182</v>
      </c>
      <c r="AA47" s="11" t="s">
        <v>183</v>
      </c>
      <c r="AB47" s="11" t="s">
        <v>184</v>
      </c>
      <c r="AC47" s="11" t="s">
        <v>185</v>
      </c>
      <c r="AD47" s="426" t="s">
        <v>186</v>
      </c>
      <c r="AF47" s="447" t="s">
        <v>173</v>
      </c>
      <c r="AG47" s="448"/>
      <c r="AH47" s="449"/>
      <c r="AI47" s="11" t="s">
        <v>174</v>
      </c>
      <c r="AJ47" s="11" t="s">
        <v>176</v>
      </c>
      <c r="AK47" s="11" t="s">
        <v>114</v>
      </c>
      <c r="AL47" s="11" t="s">
        <v>178</v>
      </c>
      <c r="AM47" s="11" t="s">
        <v>179</v>
      </c>
      <c r="AN47" s="93" t="s">
        <v>181</v>
      </c>
      <c r="AO47" s="447" t="s">
        <v>150</v>
      </c>
      <c r="AP47" s="448"/>
      <c r="AQ47" s="447" t="s">
        <v>150</v>
      </c>
      <c r="AR47" s="449"/>
      <c r="AS47" s="11" t="s">
        <v>222</v>
      </c>
      <c r="AT47" s="95" t="s">
        <v>223</v>
      </c>
      <c r="AU47" s="11" t="s">
        <v>224</v>
      </c>
      <c r="AV47" s="95" t="s">
        <v>225</v>
      </c>
      <c r="AW47" s="11" t="s">
        <v>226</v>
      </c>
      <c r="AX47" s="11" t="s">
        <v>227</v>
      </c>
      <c r="AY47" s="11" t="s">
        <v>228</v>
      </c>
      <c r="AZ47" s="11" t="s">
        <v>245</v>
      </c>
      <c r="BA47" s="93" t="s">
        <v>229</v>
      </c>
      <c r="BB47" s="93" t="s">
        <v>230</v>
      </c>
      <c r="BC47" s="93" t="s">
        <v>231</v>
      </c>
      <c r="BD47" s="468" t="s">
        <v>232</v>
      </c>
      <c r="BE47" s="257" t="s">
        <v>184</v>
      </c>
      <c r="BF47" s="11" t="s">
        <v>185</v>
      </c>
      <c r="BH47" s="447" t="s">
        <v>173</v>
      </c>
      <c r="BI47" s="448"/>
      <c r="BJ47" s="449"/>
      <c r="BK47" s="459" t="s">
        <v>184</v>
      </c>
      <c r="BL47" s="460"/>
      <c r="BM47" s="460"/>
      <c r="BN47" s="460"/>
      <c r="BO47" s="461"/>
      <c r="BP47" s="426" t="s">
        <v>221</v>
      </c>
      <c r="BR47" s="447" t="s">
        <v>185</v>
      </c>
      <c r="BS47" s="448"/>
      <c r="BT47" s="448"/>
      <c r="BU47" s="448"/>
      <c r="BV47" s="449"/>
      <c r="BW47" s="426" t="s">
        <v>221</v>
      </c>
      <c r="CN47" s="64"/>
      <c r="CO47" s="64"/>
    </row>
    <row r="48" spans="2:94" ht="15" customHeight="1" x14ac:dyDescent="0.25">
      <c r="I48" s="112"/>
      <c r="N48" s="450" t="s">
        <v>17</v>
      </c>
      <c r="O48" s="451"/>
      <c r="P48" s="452"/>
      <c r="Q48" s="14" t="s">
        <v>17</v>
      </c>
      <c r="R48" s="14" t="s">
        <v>17</v>
      </c>
      <c r="S48" s="14" t="s">
        <v>17</v>
      </c>
      <c r="T48" s="14" t="s">
        <v>17</v>
      </c>
      <c r="U48" s="14" t="s">
        <v>17</v>
      </c>
      <c r="V48" s="14" t="s">
        <v>17</v>
      </c>
      <c r="W48" s="14" t="s">
        <v>188</v>
      </c>
      <c r="X48" s="14" t="s">
        <v>153</v>
      </c>
      <c r="Y48" s="14" t="s">
        <v>153</v>
      </c>
      <c r="Z48" s="14" t="s">
        <v>153</v>
      </c>
      <c r="AA48" s="14" t="s">
        <v>189</v>
      </c>
      <c r="AB48" s="14" t="s">
        <v>190</v>
      </c>
      <c r="AC48" s="14" t="s">
        <v>190</v>
      </c>
      <c r="AD48" s="427"/>
      <c r="AF48" s="450" t="s">
        <v>17</v>
      </c>
      <c r="AG48" s="451"/>
      <c r="AH48" s="452"/>
      <c r="AI48" s="14" t="s">
        <v>17</v>
      </c>
      <c r="AJ48" s="14" t="s">
        <v>17</v>
      </c>
      <c r="AK48" s="14" t="s">
        <v>17</v>
      </c>
      <c r="AL48" s="14" t="s">
        <v>17</v>
      </c>
      <c r="AM48" s="14" t="s">
        <v>188</v>
      </c>
      <c r="AN48" s="247" t="s">
        <v>153</v>
      </c>
      <c r="AO48" s="450" t="s">
        <v>153</v>
      </c>
      <c r="AP48" s="451"/>
      <c r="AQ48" s="450" t="s">
        <v>153</v>
      </c>
      <c r="AR48" s="452"/>
      <c r="AS48" s="14" t="s">
        <v>17</v>
      </c>
      <c r="AT48" s="120" t="s">
        <v>17</v>
      </c>
      <c r="AU48" s="14" t="s">
        <v>17</v>
      </c>
      <c r="AV48" s="120" t="s">
        <v>153</v>
      </c>
      <c r="AW48" s="14" t="s">
        <v>153</v>
      </c>
      <c r="AX48" s="14" t="s">
        <v>153</v>
      </c>
      <c r="AY48" s="14" t="s">
        <v>153</v>
      </c>
      <c r="AZ48" s="14" t="s">
        <v>190</v>
      </c>
      <c r="BA48" s="97" t="s">
        <v>189</v>
      </c>
      <c r="BB48" s="97" t="s">
        <v>189</v>
      </c>
      <c r="BC48" s="97" t="s">
        <v>189</v>
      </c>
      <c r="BD48" s="469"/>
      <c r="BE48" s="121" t="s">
        <v>233</v>
      </c>
      <c r="BF48" s="14" t="s">
        <v>233</v>
      </c>
      <c r="BH48" s="450" t="s">
        <v>17</v>
      </c>
      <c r="BI48" s="451"/>
      <c r="BJ48" s="452"/>
      <c r="BK48" s="462"/>
      <c r="BL48" s="463"/>
      <c r="BM48" s="463"/>
      <c r="BN48" s="463"/>
      <c r="BO48" s="464"/>
      <c r="BP48" s="465"/>
      <c r="BR48" s="450"/>
      <c r="BS48" s="451"/>
      <c r="BT48" s="451"/>
      <c r="BU48" s="451"/>
      <c r="BV48" s="452"/>
      <c r="BW48" s="465"/>
      <c r="CN48" s="60"/>
      <c r="CO48" s="60"/>
    </row>
    <row r="49" spans="9:99" ht="15" customHeight="1" x14ac:dyDescent="0.25">
      <c r="I49" s="112"/>
      <c r="N49" s="453">
        <v>2</v>
      </c>
      <c r="O49" s="80" t="s">
        <v>214</v>
      </c>
      <c r="P49" s="99"/>
      <c r="Q49" s="15"/>
      <c r="R49" s="15"/>
      <c r="S49" s="15"/>
      <c r="T49" s="15"/>
      <c r="U49" s="15"/>
      <c r="V49" s="15"/>
      <c r="W49" s="15"/>
      <c r="X49" s="15" t="s">
        <v>215</v>
      </c>
      <c r="Y49" s="15"/>
      <c r="Z49" s="15"/>
      <c r="AA49" s="15"/>
      <c r="AB49" s="15"/>
      <c r="AC49" s="15"/>
      <c r="AD49" s="122"/>
      <c r="AF49" s="453">
        <v>4</v>
      </c>
      <c r="AG49" s="250" t="str">
        <f>O55</f>
        <v>(A-B)</v>
      </c>
      <c r="AH49" s="251"/>
      <c r="AI49" s="196"/>
      <c r="AJ49" s="196"/>
      <c r="AK49" s="196"/>
      <c r="AL49" s="197"/>
      <c r="AM49" s="198"/>
      <c r="AN49" s="15"/>
      <c r="AO49" s="159" t="s">
        <v>236</v>
      </c>
      <c r="AP49" s="64" t="s">
        <v>235</v>
      </c>
      <c r="AQ49" s="78"/>
      <c r="AR49" s="79"/>
      <c r="AS49" s="122"/>
      <c r="AT49" s="167"/>
      <c r="AU49" s="140"/>
      <c r="AV49" s="157"/>
      <c r="AW49" s="157"/>
      <c r="AX49" s="157"/>
      <c r="AY49" s="157"/>
      <c r="AZ49" s="57"/>
      <c r="BA49" s="199"/>
      <c r="BB49" s="199"/>
      <c r="BC49" s="199"/>
      <c r="BD49" s="469"/>
      <c r="BE49" s="83"/>
      <c r="BF49" s="200"/>
      <c r="BH49" s="453">
        <v>4</v>
      </c>
      <c r="BI49" s="64" t="str">
        <f t="shared" ref="BI49:BI54" si="2">AG49</f>
        <v>(A-B)</v>
      </c>
      <c r="BJ49" s="210"/>
      <c r="BK49" s="80" t="s">
        <v>455</v>
      </c>
      <c r="BL49" s="80" t="s">
        <v>456</v>
      </c>
      <c r="BM49" s="80" t="s">
        <v>457</v>
      </c>
      <c r="BN49" s="80" t="s">
        <v>237</v>
      </c>
      <c r="BO49" s="81" t="s">
        <v>238</v>
      </c>
      <c r="BP49" s="15"/>
      <c r="BR49" s="80" t="s">
        <v>455</v>
      </c>
      <c r="BS49" s="80" t="s">
        <v>456</v>
      </c>
      <c r="BT49" s="80" t="s">
        <v>457</v>
      </c>
      <c r="BU49" s="80" t="s">
        <v>237</v>
      </c>
      <c r="BV49" s="81" t="s">
        <v>238</v>
      </c>
      <c r="BW49" s="15"/>
      <c r="CN49" s="64"/>
      <c r="CO49" s="64"/>
    </row>
    <row r="50" spans="9:99" ht="15" customHeight="1" x14ac:dyDescent="0.25">
      <c r="I50" s="112"/>
      <c r="N50" s="455"/>
      <c r="O50" s="44" t="s">
        <v>194</v>
      </c>
      <c r="P50" s="106">
        <v>3</v>
      </c>
      <c r="Q50" s="26">
        <f>P50/12</f>
        <v>0.25</v>
      </c>
      <c r="R50" s="26">
        <v>0.2</v>
      </c>
      <c r="S50" s="26">
        <f>MAX(Q50:R50)</f>
        <v>0.25</v>
      </c>
      <c r="T50" s="26">
        <f>S50/2</f>
        <v>0.125</v>
      </c>
      <c r="U50" s="26">
        <v>0.15</v>
      </c>
      <c r="V50" s="26">
        <f>MAX(T50:U50)</f>
        <v>0.15</v>
      </c>
      <c r="W50" s="26">
        <f>1.2*D$21*S50*V50</f>
        <v>1.0799999999999998</v>
      </c>
      <c r="X50" s="24">
        <f>M7</f>
        <v>4.7430000000000003</v>
      </c>
      <c r="Y50" s="26"/>
      <c r="Z50" s="24">
        <f>SUM(W50:Y50)</f>
        <v>5.8230000000000004</v>
      </c>
      <c r="AA50" s="24">
        <f>1/12*Z50*(P50)^2</f>
        <v>4.3672500000000003</v>
      </c>
      <c r="AB50" s="24">
        <f>1/2*Z50*P50</f>
        <v>8.7345000000000006</v>
      </c>
      <c r="AC50" s="24">
        <f>1/2*Z50*P50</f>
        <v>8.7345000000000006</v>
      </c>
      <c r="AD50" s="201"/>
      <c r="AF50" s="455"/>
      <c r="AG50" s="135" t="str">
        <f>O56</f>
        <v>L:</v>
      </c>
      <c r="AH50" s="252">
        <f>P56</f>
        <v>3</v>
      </c>
      <c r="AI50" s="24">
        <f>Q56</f>
        <v>0.3</v>
      </c>
      <c r="AJ50" s="24">
        <f>S56</f>
        <v>0.3</v>
      </c>
      <c r="AK50" s="24">
        <f>T56</f>
        <v>0.2</v>
      </c>
      <c r="AL50" s="203">
        <f>V56</f>
        <v>0.2</v>
      </c>
      <c r="AM50" s="203">
        <f>1.2*AJ50*AL50*D$21</f>
        <v>1.7279999999999998</v>
      </c>
      <c r="AN50" s="24">
        <f>1.2*D$23*D$24*D$25</f>
        <v>10.71</v>
      </c>
      <c r="AO50" s="202">
        <f>L8</f>
        <v>6.3239999999999998</v>
      </c>
      <c r="AP50" s="27">
        <f>L10</f>
        <v>3.6363000000000003</v>
      </c>
      <c r="AQ50" s="221"/>
      <c r="AR50" s="222"/>
      <c r="AS50" s="24">
        <v>1.2749999999999999</v>
      </c>
      <c r="AT50" s="202">
        <v>1.7250000000000001</v>
      </c>
      <c r="AU50" s="24">
        <f>SUM(AS50:AT50)</f>
        <v>3</v>
      </c>
      <c r="AV50" s="202">
        <f>AM50+AN50+AO50</f>
        <v>18.762</v>
      </c>
      <c r="AW50" s="202">
        <f>AV50*AS50</f>
        <v>23.92155</v>
      </c>
      <c r="AX50" s="202">
        <f>AM50+AO50+AP50</f>
        <v>11.6883</v>
      </c>
      <c r="AY50" s="202">
        <f>AX50*AT50</f>
        <v>20.1623175</v>
      </c>
      <c r="AZ50" s="24">
        <f>AB28</f>
        <v>14.000891250000002</v>
      </c>
      <c r="BA50" s="24">
        <f>((AV50*AS50*AU50*(AS50/AU50)/12)*((3*((AS50/AU50)^2))-(8*(AS50/AU50))+6))+((AX50*AT50*AU50*((AT50/AU50)^2)/12)*(4-(AT50/AU50)))+((AZ50*AS50*AT50^2)/AU50^2)</f>
        <v>19.595529522509764</v>
      </c>
      <c r="BB50" s="202">
        <f>((AV50*AS50*AU50*((AS50/AU50)^2)/12)*(4-(AS50/AU50)))+((AX50*AT50*AU50*(AT50/AU50)/12)*((3*(AT50/AU50)^2)-(8*(AT50/AU50))+6))+(((AZ50*AT50*AS50^2)/AU50^2))</f>
        <v>15.156563809306641</v>
      </c>
      <c r="BC50" s="203">
        <f>(BE50*AS50)-(0.5*AV50*AS50^2)-BA50</f>
        <v>8.7149269837265564</v>
      </c>
      <c r="BD50" s="469"/>
      <c r="BE50" s="27">
        <f>BP50</f>
        <v>34.165054612734373</v>
      </c>
      <c r="BF50" s="24">
        <f>BW50</f>
        <v>23.919704137265629</v>
      </c>
      <c r="BH50" s="455"/>
      <c r="BI50" s="253" t="str">
        <f t="shared" si="2"/>
        <v>L:</v>
      </c>
      <c r="BJ50" s="254">
        <f>AH50</f>
        <v>3</v>
      </c>
      <c r="BK50" s="59">
        <f>AZ50*AT50/AU50</f>
        <v>8.0505124687500018</v>
      </c>
      <c r="BL50" s="59">
        <f>(AW50*((1/2*AS50)+AT50))/AU50</f>
        <v>18.838220624999998</v>
      </c>
      <c r="BM50" s="204">
        <f>(AY50*(1/2*AT50)/AU50)</f>
        <v>5.7966662812500003</v>
      </c>
      <c r="BN50" s="59">
        <f>BA50/AU50</f>
        <v>6.5318431741699214</v>
      </c>
      <c r="BO50" s="204">
        <f>BB50/AU50</f>
        <v>5.0521879364355469</v>
      </c>
      <c r="BP50" s="59">
        <f>BK50+BL50+BM50+BN50-BO50</f>
        <v>34.165054612734373</v>
      </c>
      <c r="BQ50" s="58"/>
      <c r="BR50" s="59">
        <f>(AZ50*AS50)/AU50</f>
        <v>5.9503787812500013</v>
      </c>
      <c r="BS50" s="59">
        <f>(AW50*(1/2*AS50)/AU50)</f>
        <v>5.083329374999999</v>
      </c>
      <c r="BT50" s="58">
        <f>(AY50*((1/2*AT50)+AS50)/AU50)</f>
        <v>14.365651218750001</v>
      </c>
      <c r="BU50" s="59">
        <f>BA50/AU50</f>
        <v>6.5318431741699214</v>
      </c>
      <c r="BV50" s="58">
        <f>BB50/AU50</f>
        <v>5.0521879364355469</v>
      </c>
      <c r="BW50" s="24">
        <f>BR50+BS50+BT50-BU50+BV50</f>
        <v>23.919704137265629</v>
      </c>
      <c r="CN50" s="60"/>
      <c r="CO50" s="60"/>
    </row>
    <row r="51" spans="9:99" ht="15" customHeight="1" x14ac:dyDescent="0.25">
      <c r="I51" s="112"/>
      <c r="N51" s="453">
        <v>3</v>
      </c>
      <c r="O51" s="80" t="s">
        <v>214</v>
      </c>
      <c r="P51" s="99"/>
      <c r="Q51" s="15"/>
      <c r="R51" s="15"/>
      <c r="S51" s="15"/>
      <c r="T51" s="15"/>
      <c r="U51" s="15"/>
      <c r="V51" s="15"/>
      <c r="W51" s="15"/>
      <c r="X51" s="15" t="s">
        <v>216</v>
      </c>
      <c r="Y51" s="15"/>
      <c r="Z51" s="15"/>
      <c r="AA51" s="15"/>
      <c r="AB51" s="15"/>
      <c r="AC51" s="15"/>
      <c r="AD51" s="122"/>
      <c r="AF51" s="453">
        <v>7</v>
      </c>
      <c r="AG51" s="250" t="str">
        <f>O61</f>
        <v>(A-B)</v>
      </c>
      <c r="AH51" s="251"/>
      <c r="AI51" s="196"/>
      <c r="AJ51" s="196"/>
      <c r="AK51" s="196"/>
      <c r="AL51" s="197"/>
      <c r="AM51" s="198"/>
      <c r="AN51" s="15"/>
      <c r="AO51" s="159" t="s">
        <v>235</v>
      </c>
      <c r="AP51" s="64"/>
      <c r="AQ51" s="78"/>
      <c r="AR51" s="79"/>
      <c r="AS51" s="122"/>
      <c r="AT51" s="167"/>
      <c r="AU51" s="140"/>
      <c r="AV51" s="157"/>
      <c r="AW51" s="157"/>
      <c r="AX51" s="157"/>
      <c r="AY51" s="157"/>
      <c r="AZ51" s="57"/>
      <c r="BA51" s="199"/>
      <c r="BB51" s="199"/>
      <c r="BC51" s="199"/>
      <c r="BD51" s="469"/>
      <c r="BE51" s="223"/>
      <c r="BF51" s="16"/>
      <c r="BH51" s="453">
        <v>7</v>
      </c>
      <c r="BI51" s="81" t="str">
        <f t="shared" si="2"/>
        <v>(A-B)</v>
      </c>
      <c r="BJ51" s="255"/>
      <c r="BK51" s="99" t="s">
        <v>455</v>
      </c>
      <c r="BL51" s="99" t="s">
        <v>456</v>
      </c>
      <c r="BM51" s="99" t="s">
        <v>457</v>
      </c>
      <c r="BN51" s="99" t="s">
        <v>237</v>
      </c>
      <c r="BO51" s="248" t="s">
        <v>239</v>
      </c>
      <c r="BP51" s="59"/>
      <c r="BQ51" s="58"/>
      <c r="BR51" s="99" t="s">
        <v>455</v>
      </c>
      <c r="BS51" s="99" t="s">
        <v>456</v>
      </c>
      <c r="BT51" s="99" t="s">
        <v>457</v>
      </c>
      <c r="BU51" s="99" t="s">
        <v>237</v>
      </c>
      <c r="BV51" s="248" t="s">
        <v>238</v>
      </c>
      <c r="BW51" s="59"/>
      <c r="CN51" s="64"/>
      <c r="CO51" s="64"/>
    </row>
    <row r="52" spans="9:99" ht="15" customHeight="1" x14ac:dyDescent="0.25">
      <c r="I52" s="112"/>
      <c r="N52" s="454"/>
      <c r="O52" s="44" t="s">
        <v>194</v>
      </c>
      <c r="P52" s="106">
        <v>3</v>
      </c>
      <c r="Q52" s="26">
        <v>0.3</v>
      </c>
      <c r="R52" s="26">
        <v>0.2</v>
      </c>
      <c r="S52" s="26">
        <f>MAX(Q52:R52)</f>
        <v>0.3</v>
      </c>
      <c r="T52" s="26">
        <v>0.2</v>
      </c>
      <c r="U52" s="26">
        <v>0.15</v>
      </c>
      <c r="V52" s="26">
        <f>MAX(T52:U52)</f>
        <v>0.2</v>
      </c>
      <c r="W52" s="26">
        <f>1.2*D$21*S52*V52</f>
        <v>1.7279999999999998</v>
      </c>
      <c r="X52" s="24">
        <f>M7+L8</f>
        <v>11.067</v>
      </c>
      <c r="Y52" s="26">
        <f>1.2*D$24*D$25*D$23</f>
        <v>10.71</v>
      </c>
      <c r="Z52" s="24">
        <f>SUM(W52:Y52)</f>
        <v>23.505000000000003</v>
      </c>
      <c r="AA52" s="24">
        <f>1/12*Z52*(P52)^2</f>
        <v>17.628750000000004</v>
      </c>
      <c r="AB52" s="24">
        <f>1/2*Z52*P52</f>
        <v>35.257500000000007</v>
      </c>
      <c r="AC52" s="24">
        <f>1/2*Z52*P52</f>
        <v>35.257500000000007</v>
      </c>
      <c r="AD52" s="201"/>
      <c r="AF52" s="454"/>
      <c r="AG52" s="135" t="str">
        <f>O62</f>
        <v>L:</v>
      </c>
      <c r="AH52" s="252">
        <f>P62</f>
        <v>3</v>
      </c>
      <c r="AI52" s="59">
        <f>Q62</f>
        <v>0.3</v>
      </c>
      <c r="AJ52" s="59">
        <f>S62</f>
        <v>0.3</v>
      </c>
      <c r="AK52" s="59">
        <f>T62</f>
        <v>0.2</v>
      </c>
      <c r="AL52" s="203">
        <f>V64</f>
        <v>0.2</v>
      </c>
      <c r="AM52" s="203">
        <f>1.2*AJ52*AL52*D$21</f>
        <v>1.7279999999999998</v>
      </c>
      <c r="AN52" s="24">
        <f>1.2*D$23*D$24*D$25</f>
        <v>10.71</v>
      </c>
      <c r="AO52" s="202">
        <f>L10</f>
        <v>3.6363000000000003</v>
      </c>
      <c r="AP52" s="27"/>
      <c r="AQ52" s="221"/>
      <c r="AR52" s="222"/>
      <c r="AS52" s="24">
        <v>1.2749999999999999</v>
      </c>
      <c r="AT52" s="202">
        <v>1.7250000000000001</v>
      </c>
      <c r="AU52" s="59">
        <f>SUM(AS52:AT52)</f>
        <v>3</v>
      </c>
      <c r="AV52" s="202">
        <f>AM52+AN52</f>
        <v>12.438000000000001</v>
      </c>
      <c r="AW52" s="202">
        <f>AV52*AS52</f>
        <v>15.858449999999999</v>
      </c>
      <c r="AX52" s="202">
        <f>AM52+AN52+AO52</f>
        <v>16.074300000000001</v>
      </c>
      <c r="AY52" s="202">
        <f>AX52*AT52</f>
        <v>27.728167500000001</v>
      </c>
      <c r="AZ52" s="24">
        <f>AB28</f>
        <v>14.000891250000002</v>
      </c>
      <c r="BA52" s="24">
        <f>((AV52*AS52*AU52*(AS52/AU52)/12)*((3*((AS52/AU52)^2))-(8*(AS52/AU52))+6))+((AX52*AT52*AU52*((AT52/AU52)^2)/12)*(4-(AT52/AU52)))+((AZ52*AS52*AT52^2)/AU52^2)</f>
        <v>19.045745866845706</v>
      </c>
      <c r="BB52" s="202">
        <f>((AV52*AS52*AU52*((AS52/AU52)^2)/12)*(4-(AS52/AU52)))+((AX52*AT52*AU52*(AT52/AU52)/12)*((3*(AT52/AU52)^2)-(8*(AT52/AU52))+6))+(((AZ52*AT52*AS52^2)/AU52^2))</f>
        <v>16.45629017317383</v>
      </c>
      <c r="BC52" s="203">
        <f>(BE52*AS52)-(0.5*AV52*AS52^2)-BA52</f>
        <v>8.2963956779648349</v>
      </c>
      <c r="BD52" s="469"/>
      <c r="BE52" s="202">
        <f>BP52</f>
        <v>29.374041897890624</v>
      </c>
      <c r="BF52" s="24">
        <f>BW52</f>
        <v>28.213466852109381</v>
      </c>
      <c r="BH52" s="454"/>
      <c r="BI52" s="253" t="str">
        <f t="shared" si="2"/>
        <v>L:</v>
      </c>
      <c r="BJ52" s="254">
        <f>AH52</f>
        <v>3</v>
      </c>
      <c r="BK52" s="24">
        <f>AZ52*AT52/AU52</f>
        <v>8.0505124687500018</v>
      </c>
      <c r="BL52" s="24">
        <f>(AW52*((1/2*AS52)+AT52))/AU52</f>
        <v>12.488529374999999</v>
      </c>
      <c r="BM52" s="24">
        <f>(AY52*(1/2*AT52)/AU52)</f>
        <v>7.971848156250001</v>
      </c>
      <c r="BN52" s="59">
        <f>BA52/AU52</f>
        <v>6.3485819556152352</v>
      </c>
      <c r="BO52" s="204">
        <f>BB52/AU52</f>
        <v>5.48543005772461</v>
      </c>
      <c r="BP52" s="24">
        <f>BK52+BL52+BM52+BN52-BO52</f>
        <v>29.374041897890624</v>
      </c>
      <c r="BQ52" s="58"/>
      <c r="BR52" s="24">
        <f>(AZ52*AS52)/AU52</f>
        <v>5.9503787812500013</v>
      </c>
      <c r="BS52" s="24">
        <f>(AW52*(1/2*AS52)/AU52)</f>
        <v>3.3699206249999993</v>
      </c>
      <c r="BT52" s="202">
        <f>(AY52*((1/2*AT52)+AS52)/AU52)</f>
        <v>19.756319343750004</v>
      </c>
      <c r="BU52" s="59">
        <f>BA52/AU52</f>
        <v>6.3485819556152352</v>
      </c>
      <c r="BV52" s="58">
        <f>BB52/AU52</f>
        <v>5.48543005772461</v>
      </c>
      <c r="BW52" s="24">
        <f>BR52+BS52+BT52-BU52+BV52</f>
        <v>28.213466852109381</v>
      </c>
      <c r="CN52" s="60"/>
      <c r="CO52" s="60"/>
    </row>
    <row r="53" spans="9:99" ht="15" customHeight="1" x14ac:dyDescent="0.25">
      <c r="I53" s="112"/>
      <c r="N53" s="454"/>
      <c r="O53" s="80" t="s">
        <v>217</v>
      </c>
      <c r="P53" s="99"/>
      <c r="Q53" s="15"/>
      <c r="R53" s="15"/>
      <c r="S53" s="15"/>
      <c r="T53" s="15"/>
      <c r="U53" s="15"/>
      <c r="V53" s="15"/>
      <c r="W53" s="15"/>
      <c r="X53" s="15" t="s">
        <v>218</v>
      </c>
      <c r="Y53" s="15"/>
      <c r="Z53" s="15"/>
      <c r="AA53" s="15"/>
      <c r="AB53" s="15"/>
      <c r="AC53" s="15"/>
      <c r="AD53" s="122"/>
      <c r="AF53" s="454"/>
      <c r="AG53" s="250" t="str">
        <f>O63</f>
        <v>(B-D)</v>
      </c>
      <c r="AH53" s="251"/>
      <c r="AI53" s="224"/>
      <c r="AJ53" s="224"/>
      <c r="AK53" s="224"/>
      <c r="AL53" s="197"/>
      <c r="AM53" s="198"/>
      <c r="AN53" s="15"/>
      <c r="AO53" s="159" t="s">
        <v>244</v>
      </c>
      <c r="AP53" s="64"/>
      <c r="AQ53" s="466" t="s">
        <v>240</v>
      </c>
      <c r="AR53" s="467"/>
      <c r="AS53" s="122"/>
      <c r="AT53" s="167"/>
      <c r="AU53" s="122"/>
      <c r="AV53" s="157"/>
      <c r="AW53" s="157"/>
      <c r="AX53" s="157"/>
      <c r="AY53" s="157"/>
      <c r="AZ53" s="57"/>
      <c r="BA53" s="199"/>
      <c r="BB53" s="199"/>
      <c r="BC53" s="199"/>
      <c r="BD53" s="469"/>
      <c r="BE53" s="205"/>
      <c r="BF53" s="205"/>
      <c r="BH53" s="454"/>
      <c r="BI53" s="81" t="str">
        <f t="shared" si="2"/>
        <v>(B-D)</v>
      </c>
      <c r="BJ53" s="255"/>
      <c r="BK53" s="99" t="s">
        <v>455</v>
      </c>
      <c r="BL53" s="99" t="s">
        <v>456</v>
      </c>
      <c r="BM53" s="99" t="s">
        <v>457</v>
      </c>
      <c r="BN53" s="99" t="s">
        <v>237</v>
      </c>
      <c r="BO53" s="248" t="s">
        <v>239</v>
      </c>
      <c r="BP53" s="59"/>
      <c r="BQ53" s="58"/>
      <c r="BR53" s="99" t="s">
        <v>455</v>
      </c>
      <c r="BS53" s="99" t="s">
        <v>456</v>
      </c>
      <c r="BT53" s="99" t="s">
        <v>457</v>
      </c>
      <c r="BU53" s="99" t="s">
        <v>237</v>
      </c>
      <c r="BV53" s="248" t="s">
        <v>238</v>
      </c>
      <c r="BW53" s="59"/>
      <c r="CN53" s="64"/>
      <c r="CO53" s="64"/>
    </row>
    <row r="54" spans="9:99" ht="15" customHeight="1" x14ac:dyDescent="0.25">
      <c r="I54" s="112"/>
      <c r="N54" s="455"/>
      <c r="O54" s="44" t="s">
        <v>194</v>
      </c>
      <c r="P54" s="106">
        <v>3.5</v>
      </c>
      <c r="Q54" s="26">
        <v>0.3</v>
      </c>
      <c r="R54" s="26">
        <v>0.2</v>
      </c>
      <c r="S54" s="26">
        <f>MAX(Q54:R54)</f>
        <v>0.3</v>
      </c>
      <c r="T54" s="26">
        <v>0.2</v>
      </c>
      <c r="U54" s="26">
        <v>0.15</v>
      </c>
      <c r="V54" s="26">
        <f>MAX(T54:U54)</f>
        <v>0.2</v>
      </c>
      <c r="W54" s="26">
        <f>1.2*D$21*S54*V54</f>
        <v>1.7279999999999998</v>
      </c>
      <c r="X54" s="24">
        <f>L9</f>
        <v>7.3780000000000001</v>
      </c>
      <c r="Y54" s="26">
        <f>1.2*D$24*D$25*D$23</f>
        <v>10.71</v>
      </c>
      <c r="Z54" s="24">
        <f>SUM(W54:Y54)</f>
        <v>19.816000000000003</v>
      </c>
      <c r="AA54" s="24">
        <f>1/12*Z54*(P54)^2</f>
        <v>20.228833333333334</v>
      </c>
      <c r="AB54" s="24">
        <f>1/2*Z54*P54</f>
        <v>34.678000000000004</v>
      </c>
      <c r="AC54" s="24">
        <f>1/2*Z54*P54</f>
        <v>34.678000000000004</v>
      </c>
      <c r="AD54" s="201"/>
      <c r="AF54" s="455"/>
      <c r="AG54" s="135" t="str">
        <f>O64</f>
        <v>L:</v>
      </c>
      <c r="AH54" s="252">
        <f>P64</f>
        <v>3.5</v>
      </c>
      <c r="AI54" s="24">
        <f>Q64</f>
        <v>0.3</v>
      </c>
      <c r="AJ54" s="24">
        <f>S64</f>
        <v>0.3</v>
      </c>
      <c r="AK54" s="24">
        <f>T64</f>
        <v>0.2</v>
      </c>
      <c r="AL54" s="203">
        <f>V66</f>
        <v>0.15</v>
      </c>
      <c r="AM54" s="203">
        <f>1.2*AJ54*AL54*D$21</f>
        <v>1.296</v>
      </c>
      <c r="AN54" s="24">
        <f>1.2*D$23*D$24*D$25</f>
        <v>10.71</v>
      </c>
      <c r="AO54" s="202">
        <f>L13</f>
        <v>4.2160000000000002</v>
      </c>
      <c r="AP54" s="27"/>
      <c r="AQ54" s="441">
        <f>M12</f>
        <v>3.6137142857142854</v>
      </c>
      <c r="AR54" s="442"/>
      <c r="AS54" s="24">
        <v>1.5</v>
      </c>
      <c r="AT54" s="202">
        <v>2</v>
      </c>
      <c r="AU54" s="24">
        <f>SUM(AS54:AT54)</f>
        <v>3.5</v>
      </c>
      <c r="AV54" s="202">
        <f>AM54+AN54+AQ54</f>
        <v>15.619714285714286</v>
      </c>
      <c r="AW54" s="202">
        <f>AV54*AS54</f>
        <v>23.429571428571428</v>
      </c>
      <c r="AX54" s="202">
        <f>AM54+AO54+AQ54</f>
        <v>9.1257142857142863</v>
      </c>
      <c r="AY54" s="202">
        <f>AX54*AT54</f>
        <v>18.251428571428573</v>
      </c>
      <c r="AZ54" s="24">
        <f>AB36</f>
        <v>11.498999999999999</v>
      </c>
      <c r="BA54" s="24">
        <f>((AV54*AS54*AU54*(AS54/AU54)/12)*((3*((AS54/AU54)^2))-(8*(AS54/AU54))+6))+((AX54*AT54*AU54*((AT54/AU54)^2)/12)*(4-(AT54/AU54)))+((AZ54*AS54*AT54^2)/AU54^2)</f>
        <v>20.736518586005829</v>
      </c>
      <c r="BB54" s="202">
        <f>((AV54*AS54*AU54*((AS54/AU54)^2)/12)*(4-(AS54/AU54)))+((AX54*AT54*AU54*(AT54/AU54)/12)*((3*(AT54/AU54)^2)-(8*(AT54/AU54))+6))+(((AZ54*AT54*AS54^2)/AU54^2))</f>
        <v>16.032224368318758</v>
      </c>
      <c r="BC54" s="203">
        <f>(BE54*AS54)-(0.5*AV54*AS54^2)-BA54</f>
        <v>8.9991789358600514</v>
      </c>
      <c r="BD54" s="470"/>
      <c r="BE54" s="202">
        <f>BP54</f>
        <v>31.538584062196303</v>
      </c>
      <c r="BF54" s="24">
        <f>BW54</f>
        <v>21.641415937803696</v>
      </c>
      <c r="BH54" s="455"/>
      <c r="BI54" s="253" t="str">
        <f t="shared" si="2"/>
        <v>L:</v>
      </c>
      <c r="BJ54" s="254">
        <f>AH54</f>
        <v>3.5</v>
      </c>
      <c r="BK54" s="24">
        <f>AZ54*AT54/AU54</f>
        <v>6.5708571428571423</v>
      </c>
      <c r="BL54" s="24">
        <f>(AW54*((1/2*AS54)+AT54))/AU54</f>
        <v>18.408948979591834</v>
      </c>
      <c r="BM54" s="24">
        <f>(AY54*(1/2*AT54)/AU54)</f>
        <v>5.2146938775510208</v>
      </c>
      <c r="BN54" s="24">
        <f>BA54/AU54</f>
        <v>5.9247195960016654</v>
      </c>
      <c r="BO54" s="24">
        <f>BB54/AU54</f>
        <v>4.580635533805359</v>
      </c>
      <c r="BP54" s="24">
        <f>BK54+BL54+BM54+BN54-BO54</f>
        <v>31.538584062196303</v>
      </c>
      <c r="BQ54" s="58"/>
      <c r="BR54" s="24">
        <f>(AZ54*AS54)/AU54</f>
        <v>4.9281428571428574</v>
      </c>
      <c r="BS54" s="24">
        <f>(AW54*(1/2*AS54)/AU54)</f>
        <v>5.0206224489795925</v>
      </c>
      <c r="BT54" s="202">
        <f>(AY54*((1/2*AT54)+AS54)/AU54)</f>
        <v>13.036734693877552</v>
      </c>
      <c r="BU54" s="24">
        <f>BA54/AU54</f>
        <v>5.9247195960016654</v>
      </c>
      <c r="BV54" s="202">
        <f>BB54/AU54</f>
        <v>4.580635533805359</v>
      </c>
      <c r="BW54" s="24">
        <f>BR54+BS54+BT54-BU54+BV54</f>
        <v>21.641415937803696</v>
      </c>
      <c r="CN54" s="60"/>
      <c r="CO54" s="60"/>
    </row>
    <row r="55" spans="9:99" x14ac:dyDescent="0.25">
      <c r="I55" s="112"/>
      <c r="N55" s="453">
        <v>4</v>
      </c>
      <c r="O55" s="80" t="s">
        <v>214</v>
      </c>
      <c r="P55" s="99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218"/>
      <c r="AF55" s="3"/>
      <c r="AG55" s="145"/>
      <c r="AH55" s="208"/>
      <c r="AI55" s="208"/>
      <c r="AJ55" s="208"/>
      <c r="AK55" s="208"/>
      <c r="AL55" s="60"/>
      <c r="AN55" s="3"/>
      <c r="AO55" s="3"/>
      <c r="AP55" s="64"/>
      <c r="AQ55" s="64"/>
      <c r="AT55" s="208"/>
      <c r="AU55" s="208"/>
      <c r="AV55" s="208"/>
      <c r="AX55" s="211"/>
      <c r="AY55" s="212"/>
      <c r="AZ55" s="208"/>
      <c r="BA55" s="208"/>
      <c r="BB55" s="208"/>
      <c r="BC55" s="3"/>
      <c r="BD55" s="58"/>
      <c r="BE55" s="34"/>
    </row>
    <row r="56" spans="9:99" x14ac:dyDescent="0.25">
      <c r="I56" s="112"/>
      <c r="N56" s="454"/>
      <c r="O56" s="44" t="s">
        <v>194</v>
      </c>
      <c r="P56" s="106">
        <v>3</v>
      </c>
      <c r="Q56" s="26">
        <v>0.3</v>
      </c>
      <c r="R56" s="26">
        <v>0.2</v>
      </c>
      <c r="S56" s="26">
        <f>MAX(Q56:R56)</f>
        <v>0.3</v>
      </c>
      <c r="T56" s="26">
        <v>0.2</v>
      </c>
      <c r="U56" s="26">
        <v>0.15</v>
      </c>
      <c r="V56" s="26">
        <f>MAX(T56:U56)</f>
        <v>0.2</v>
      </c>
      <c r="W56" s="26"/>
      <c r="X56" s="24"/>
      <c r="Y56" s="26"/>
      <c r="Z56" s="24"/>
      <c r="AA56" s="24"/>
      <c r="AB56" s="24"/>
      <c r="AC56" s="24"/>
      <c r="AD56" s="219"/>
      <c r="AF56" s="3"/>
      <c r="AG56" s="145"/>
      <c r="AH56" s="208"/>
      <c r="AI56" s="208"/>
      <c r="AJ56" s="208"/>
      <c r="AK56" s="208"/>
      <c r="AL56" s="60"/>
      <c r="AN56" s="3"/>
      <c r="AO56" s="3"/>
      <c r="AP56" s="64"/>
      <c r="AQ56" s="64"/>
      <c r="AT56" s="208"/>
      <c r="AU56" s="208"/>
      <c r="AV56" s="208"/>
      <c r="AX56" s="112"/>
      <c r="BE56" s="34"/>
    </row>
    <row r="57" spans="9:99" x14ac:dyDescent="0.25">
      <c r="I57" s="112"/>
      <c r="N57" s="454"/>
      <c r="O57" s="80" t="s">
        <v>217</v>
      </c>
      <c r="P57" s="99"/>
      <c r="Q57" s="15"/>
      <c r="R57" s="15"/>
      <c r="S57" s="15"/>
      <c r="T57" s="15"/>
      <c r="U57" s="15"/>
      <c r="V57" s="15"/>
      <c r="W57" s="15"/>
      <c r="X57" s="15" t="s">
        <v>219</v>
      </c>
      <c r="Y57" s="15"/>
      <c r="Z57" s="15"/>
      <c r="AA57" s="15"/>
      <c r="AB57" s="15"/>
      <c r="AC57" s="15"/>
      <c r="AD57" s="122"/>
      <c r="AF57" s="3"/>
      <c r="AG57" s="145"/>
      <c r="AH57" s="208"/>
      <c r="AI57" s="208"/>
      <c r="AJ57" s="208"/>
      <c r="AK57" s="208"/>
      <c r="AL57" s="60"/>
      <c r="AN57" s="3"/>
      <c r="AO57" s="3"/>
      <c r="AP57" s="64"/>
      <c r="AQ57" s="64"/>
      <c r="AT57" s="208"/>
      <c r="AU57" s="208"/>
      <c r="AV57" s="60"/>
      <c r="AW57" s="217"/>
      <c r="AX57" s="125"/>
      <c r="AY57" s="125"/>
      <c r="AZ57" s="125"/>
      <c r="BA57" s="125"/>
      <c r="BB57" s="125"/>
      <c r="BC57" s="125"/>
      <c r="BD57" s="125"/>
      <c r="BE57" s="3"/>
    </row>
    <row r="58" spans="9:99" x14ac:dyDescent="0.25">
      <c r="I58" s="112"/>
      <c r="N58" s="455"/>
      <c r="O58" s="44" t="s">
        <v>194</v>
      </c>
      <c r="P58" s="106">
        <v>3.5</v>
      </c>
      <c r="Q58" s="26">
        <v>0.3</v>
      </c>
      <c r="R58" s="26">
        <v>0.2</v>
      </c>
      <c r="S58" s="26">
        <f>MAX(Q58:R58)</f>
        <v>0.3</v>
      </c>
      <c r="T58" s="26">
        <v>0.2</v>
      </c>
      <c r="U58" s="26">
        <v>0.15</v>
      </c>
      <c r="V58" s="26">
        <f>MAX(T58:U58)</f>
        <v>0.2</v>
      </c>
      <c r="W58" s="26">
        <f>1.2*D$21*S58*V58</f>
        <v>1.7279999999999998</v>
      </c>
      <c r="X58" s="24">
        <f>L9+M11</f>
        <v>13.400857142857143</v>
      </c>
      <c r="Y58" s="26">
        <f>1.2*D$24*D$25*D$23</f>
        <v>10.71</v>
      </c>
      <c r="Z58" s="24">
        <f>SUM(W58:Y58)</f>
        <v>25.838857142857144</v>
      </c>
      <c r="AA58" s="24">
        <f>1/12*Z58*(P58)^2</f>
        <v>26.377166666666668</v>
      </c>
      <c r="AB58" s="24">
        <f>1/2*Z58*P58</f>
        <v>45.218000000000004</v>
      </c>
      <c r="AC58" s="24">
        <f>1/2*Z58*P58</f>
        <v>45.218000000000004</v>
      </c>
      <c r="AD58" s="201"/>
      <c r="AF58" s="3"/>
      <c r="AG58" s="145"/>
      <c r="AH58" s="208"/>
      <c r="AI58" s="208"/>
      <c r="AJ58" s="208"/>
      <c r="AK58" s="208"/>
      <c r="AL58" s="60"/>
      <c r="AN58" s="3"/>
      <c r="AO58" s="3"/>
      <c r="AP58" s="64"/>
      <c r="AQ58" s="64"/>
      <c r="AT58" s="208"/>
      <c r="AU58" s="208"/>
      <c r="AV58" s="208"/>
      <c r="AX58" s="125"/>
      <c r="AY58" s="125"/>
      <c r="AZ58" s="125"/>
      <c r="BA58" s="125"/>
      <c r="BB58" s="125"/>
      <c r="BC58" s="125"/>
      <c r="BD58" s="125"/>
      <c r="BE58" s="3"/>
    </row>
    <row r="59" spans="9:99" x14ac:dyDescent="0.25">
      <c r="I59" s="112"/>
      <c r="N59" s="456">
        <v>6</v>
      </c>
      <c r="O59" s="94" t="s">
        <v>217</v>
      </c>
      <c r="P59" s="356"/>
      <c r="Q59" s="357"/>
      <c r="R59" s="357"/>
      <c r="S59" s="357"/>
      <c r="T59" s="357"/>
      <c r="U59" s="357"/>
      <c r="V59" s="357"/>
      <c r="W59" s="357"/>
      <c r="X59" s="357" t="s">
        <v>243</v>
      </c>
      <c r="Y59" s="357"/>
      <c r="Z59" s="358"/>
      <c r="AA59" s="358"/>
      <c r="AB59" s="358"/>
      <c r="AC59" s="358"/>
      <c r="AD59" s="209"/>
      <c r="AF59" s="3"/>
      <c r="AG59" s="145"/>
      <c r="AH59" s="208"/>
      <c r="AI59" s="208"/>
      <c r="AJ59" s="208"/>
      <c r="AK59" s="225"/>
      <c r="AL59" s="60"/>
      <c r="AN59" s="3"/>
      <c r="AO59" s="3"/>
      <c r="AP59" s="64"/>
      <c r="AQ59" s="64"/>
      <c r="AT59" s="208"/>
      <c r="AU59" s="208"/>
      <c r="AV59" s="208"/>
      <c r="AX59" s="125"/>
      <c r="AY59" s="3"/>
      <c r="AZ59" s="145"/>
      <c r="BA59" s="64"/>
      <c r="BB59" s="64"/>
      <c r="BC59" s="64"/>
      <c r="BD59" s="64"/>
      <c r="BE59" s="58"/>
    </row>
    <row r="60" spans="9:99" x14ac:dyDescent="0.25">
      <c r="I60" s="112"/>
      <c r="N60" s="457"/>
      <c r="O60" s="98" t="s">
        <v>194</v>
      </c>
      <c r="P60" s="359">
        <v>3.5</v>
      </c>
      <c r="Q60" s="360">
        <v>0.3</v>
      </c>
      <c r="R60" s="360">
        <v>0.2</v>
      </c>
      <c r="S60" s="360">
        <f>MAX(Q60:R60)</f>
        <v>0.3</v>
      </c>
      <c r="T60" s="360">
        <v>0.2</v>
      </c>
      <c r="U60" s="360">
        <f>0.15</f>
        <v>0.15</v>
      </c>
      <c r="V60" s="360">
        <f>MAX(T60:U60)</f>
        <v>0.2</v>
      </c>
      <c r="W60" s="360">
        <f>1.2*D$21*S60*V60</f>
        <v>1.7279999999999998</v>
      </c>
      <c r="X60" s="361">
        <f>M12+M11</f>
        <v>9.636571428571429</v>
      </c>
      <c r="Y60" s="360">
        <f>1.2*D$24*D$25*D$23</f>
        <v>10.71</v>
      </c>
      <c r="Z60" s="361">
        <f>SUM(W60:Y60)</f>
        <v>22.074571428571431</v>
      </c>
      <c r="AA60" s="361">
        <f>1/12*Z60*(P60)^2</f>
        <v>22.534458333333337</v>
      </c>
      <c r="AB60" s="361">
        <f>1/2*Z60*P60</f>
        <v>38.630500000000005</v>
      </c>
      <c r="AC60" s="361">
        <f>1/2*Z60*P60</f>
        <v>38.630500000000005</v>
      </c>
      <c r="AD60" s="213"/>
      <c r="AT60" s="208"/>
      <c r="AU60" s="208"/>
      <c r="AV60" s="208"/>
      <c r="AW60" s="217"/>
      <c r="AX60" s="125"/>
      <c r="AY60" s="144"/>
      <c r="AZ60" s="145"/>
      <c r="BA60" s="60"/>
      <c r="BB60" s="60"/>
      <c r="BC60" s="60"/>
      <c r="BD60" s="60"/>
      <c r="BE60" s="3"/>
      <c r="CU60" s="195"/>
    </row>
    <row r="61" spans="9:99" x14ac:dyDescent="0.25">
      <c r="I61" s="112"/>
      <c r="N61" s="453">
        <v>7</v>
      </c>
      <c r="O61" s="80" t="s">
        <v>214</v>
      </c>
      <c r="P61" s="99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218"/>
      <c r="AV61" s="208"/>
      <c r="AX61" s="125"/>
      <c r="AY61" s="3"/>
      <c r="AZ61" s="145"/>
      <c r="BA61" s="64"/>
      <c r="BB61" s="64"/>
      <c r="BC61" s="64"/>
      <c r="BD61" s="64"/>
      <c r="BE61" s="3"/>
      <c r="BF61" s="125"/>
      <c r="BG61" s="125"/>
      <c r="BH61" s="125"/>
      <c r="BI61" s="125"/>
      <c r="BJ61" s="125"/>
      <c r="BK61" s="125"/>
      <c r="BL61" s="125"/>
      <c r="BM61" s="125"/>
      <c r="BN61" s="125"/>
      <c r="BO61" s="125"/>
      <c r="BP61" s="125"/>
      <c r="BQ61" s="125"/>
      <c r="BR61" s="125"/>
      <c r="BS61" s="125"/>
      <c r="BT61" s="125"/>
      <c r="BU61" s="125"/>
      <c r="BV61" s="125"/>
      <c r="BW61" s="125"/>
      <c r="BX61" s="125"/>
      <c r="BY61" s="125"/>
      <c r="BZ61" s="125"/>
      <c r="CA61" s="125"/>
      <c r="CB61" s="125"/>
      <c r="CC61" s="125"/>
      <c r="CD61" s="125"/>
      <c r="CE61" s="125"/>
      <c r="CF61" s="125"/>
      <c r="CG61" s="125"/>
      <c r="CH61" s="125"/>
      <c r="CI61" s="125"/>
      <c r="CJ61" s="125"/>
      <c r="CK61" s="125"/>
      <c r="CL61" s="125"/>
      <c r="CM61" s="125"/>
      <c r="CN61" s="125"/>
      <c r="CU61" s="195"/>
    </row>
    <row r="62" spans="9:99" x14ac:dyDescent="0.25">
      <c r="I62" s="112"/>
      <c r="N62" s="454"/>
      <c r="O62" s="44" t="s">
        <v>194</v>
      </c>
      <c r="P62" s="106">
        <v>3</v>
      </c>
      <c r="Q62" s="26">
        <v>0.3</v>
      </c>
      <c r="R62" s="26">
        <v>0.2</v>
      </c>
      <c r="S62" s="26">
        <f>MAX(Q62:R62)</f>
        <v>0.3</v>
      </c>
      <c r="T62" s="26">
        <v>0.2</v>
      </c>
      <c r="U62" s="26">
        <v>0.15</v>
      </c>
      <c r="V62" s="26">
        <f>MAX(T62:U62)</f>
        <v>0.2</v>
      </c>
      <c r="W62" s="26"/>
      <c r="X62" s="24"/>
      <c r="Y62" s="26"/>
      <c r="Z62" s="24"/>
      <c r="AA62" s="24"/>
      <c r="AB62" s="24"/>
      <c r="AC62" s="24"/>
      <c r="AD62" s="219"/>
      <c r="AW62" s="217"/>
      <c r="AX62" s="125"/>
      <c r="AY62" s="144"/>
      <c r="AZ62" s="145"/>
      <c r="BA62" s="60"/>
      <c r="BB62" s="60"/>
      <c r="BC62" s="60"/>
      <c r="BD62" s="60"/>
      <c r="BE62" s="3"/>
      <c r="BF62" s="125"/>
      <c r="BG62" s="125"/>
      <c r="BH62" s="125"/>
      <c r="BI62" s="125"/>
      <c r="BJ62" s="125"/>
      <c r="BK62" s="125"/>
      <c r="BL62" s="125"/>
      <c r="BM62" s="125"/>
      <c r="BN62" s="125"/>
      <c r="BO62" s="125"/>
      <c r="BP62" s="125"/>
      <c r="BQ62" s="125"/>
      <c r="BR62" s="125"/>
      <c r="BS62" s="125"/>
      <c r="BT62" s="125"/>
      <c r="BU62" s="125"/>
      <c r="BV62" s="125"/>
      <c r="BW62" s="125"/>
      <c r="BX62" s="125"/>
      <c r="BY62" s="125"/>
      <c r="BZ62" s="125"/>
      <c r="CA62" s="125"/>
      <c r="CB62" s="125"/>
      <c r="CC62" s="125"/>
      <c r="CD62" s="125"/>
      <c r="CE62" s="125"/>
      <c r="CF62" s="125"/>
      <c r="CG62" s="125"/>
      <c r="CH62" s="125"/>
      <c r="CI62" s="125"/>
      <c r="CJ62" s="125"/>
      <c r="CK62" s="125"/>
      <c r="CL62" s="125"/>
      <c r="CM62" s="125"/>
      <c r="CN62" s="125"/>
    </row>
    <row r="63" spans="9:99" x14ac:dyDescent="0.25">
      <c r="I63" s="112"/>
      <c r="N63" s="454"/>
      <c r="O63" s="80" t="s">
        <v>217</v>
      </c>
      <c r="P63" s="99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218"/>
      <c r="AX63" s="125"/>
      <c r="AY63" s="3"/>
      <c r="AZ63" s="145"/>
      <c r="BA63" s="64"/>
      <c r="BB63" s="64"/>
      <c r="BC63" s="64"/>
      <c r="BD63" s="64"/>
      <c r="BE63" s="3"/>
      <c r="BF63" s="125"/>
      <c r="BG63" s="3"/>
      <c r="BH63" s="145"/>
      <c r="BI63" s="145"/>
      <c r="BJ63" s="145"/>
      <c r="BK63" s="145"/>
      <c r="BL63" s="145"/>
      <c r="BM63" s="145"/>
      <c r="BN63" s="145"/>
      <c r="BO63" s="145"/>
      <c r="BP63" s="145"/>
      <c r="BQ63" s="145"/>
      <c r="BR63" s="145"/>
      <c r="BS63" s="145"/>
      <c r="BT63" s="145"/>
      <c r="BU63" s="145"/>
      <c r="BV63" s="145"/>
      <c r="BW63" s="145"/>
      <c r="BX63" s="145"/>
      <c r="BY63" s="145"/>
      <c r="BZ63" s="145"/>
      <c r="CA63" s="145"/>
      <c r="CB63" s="145"/>
      <c r="CC63" s="145"/>
      <c r="CD63" s="145"/>
      <c r="CE63" s="145"/>
      <c r="CF63" s="145"/>
      <c r="CG63" s="145"/>
      <c r="CH63" s="145"/>
      <c r="CI63" s="145"/>
      <c r="CJ63" s="145"/>
      <c r="CK63" s="145"/>
      <c r="CL63" s="145"/>
      <c r="CM63" s="220"/>
      <c r="CN63" s="64"/>
    </row>
    <row r="64" spans="9:99" x14ac:dyDescent="0.25">
      <c r="I64" s="112"/>
      <c r="N64" s="455"/>
      <c r="O64" s="44" t="s">
        <v>194</v>
      </c>
      <c r="P64" s="106">
        <v>3.5</v>
      </c>
      <c r="Q64" s="26">
        <v>0.3</v>
      </c>
      <c r="R64" s="26">
        <v>0.2</v>
      </c>
      <c r="S64" s="26">
        <f>MAX(Q64:R64)</f>
        <v>0.3</v>
      </c>
      <c r="T64" s="26">
        <v>0.2</v>
      </c>
      <c r="U64" s="26">
        <v>0.15</v>
      </c>
      <c r="V64" s="26">
        <f>MAX(T64:U64)</f>
        <v>0.2</v>
      </c>
      <c r="W64" s="26"/>
      <c r="X64" s="24"/>
      <c r="Y64" s="26"/>
      <c r="Z64" s="24"/>
      <c r="AA64" s="24"/>
      <c r="AB64" s="24"/>
      <c r="AC64" s="24"/>
      <c r="AD64" s="219"/>
      <c r="AX64" s="112"/>
      <c r="BE64" s="3"/>
    </row>
    <row r="65" spans="6:57" x14ac:dyDescent="0.25">
      <c r="I65" s="112"/>
      <c r="N65" s="453">
        <v>8</v>
      </c>
      <c r="O65" s="80" t="s">
        <v>220</v>
      </c>
      <c r="P65" s="99"/>
      <c r="Q65" s="15"/>
      <c r="R65" s="15"/>
      <c r="S65" s="15"/>
      <c r="T65" s="15"/>
      <c r="U65" s="15"/>
      <c r="V65" s="15"/>
      <c r="W65" s="15"/>
      <c r="X65" s="15" t="s">
        <v>242</v>
      </c>
      <c r="Y65" s="15"/>
      <c r="Z65" s="15"/>
      <c r="AA65" s="15"/>
      <c r="AB65" s="15"/>
      <c r="AC65" s="15"/>
      <c r="AD65" s="122"/>
      <c r="AV65" s="3"/>
      <c r="AX65" s="112"/>
      <c r="BE65" s="3"/>
    </row>
    <row r="66" spans="6:57" x14ac:dyDescent="0.25">
      <c r="I66" s="112"/>
      <c r="N66" s="455"/>
      <c r="O66" s="44" t="s">
        <v>194</v>
      </c>
      <c r="P66" s="106">
        <v>2</v>
      </c>
      <c r="Q66" s="26">
        <v>0.25</v>
      </c>
      <c r="R66" s="26">
        <v>0.2</v>
      </c>
      <c r="S66" s="26">
        <f>MAX(Q66:R66)</f>
        <v>0.25</v>
      </c>
      <c r="T66" s="26">
        <f>S66/2</f>
        <v>0.125</v>
      </c>
      <c r="U66" s="26">
        <v>0.15</v>
      </c>
      <c r="V66" s="26">
        <f>MAX(T66:U66)</f>
        <v>0.15</v>
      </c>
      <c r="W66" s="26">
        <f>1.2*D$21*S66*V66</f>
        <v>1.0799999999999998</v>
      </c>
      <c r="X66" s="24">
        <f>L13</f>
        <v>4.2160000000000002</v>
      </c>
      <c r="Y66" s="26">
        <f>1.2*1*D$25*D$23</f>
        <v>3.0599999999999996</v>
      </c>
      <c r="Z66" s="24">
        <f>SUM(W66:Y66)</f>
        <v>8.3559999999999999</v>
      </c>
      <c r="AA66" s="24">
        <f>1/12*Z66*(P66)^2</f>
        <v>2.785333333333333</v>
      </c>
      <c r="AB66" s="24">
        <f>1/2*Z66*P66</f>
        <v>8.3559999999999999</v>
      </c>
      <c r="AC66" s="24">
        <f>1/2*Z66*P66</f>
        <v>8.3559999999999999</v>
      </c>
      <c r="AD66" s="201"/>
      <c r="AV66" s="3"/>
      <c r="AX66" s="112"/>
      <c r="BE66" s="3"/>
    </row>
    <row r="67" spans="6:57" x14ac:dyDescent="0.25">
      <c r="AV67" s="3"/>
      <c r="AX67" s="112"/>
      <c r="BE67" s="3"/>
    </row>
    <row r="68" spans="6:57" x14ac:dyDescent="0.25">
      <c r="AV68" s="3"/>
      <c r="AX68" s="112"/>
      <c r="BE68" s="3"/>
    </row>
    <row r="69" spans="6:57" x14ac:dyDescent="0.25">
      <c r="AV69" s="3"/>
      <c r="AX69" s="112"/>
      <c r="BE69" s="3"/>
    </row>
    <row r="70" spans="6:57" x14ac:dyDescent="0.25">
      <c r="AX70" s="112"/>
      <c r="BE70" s="3"/>
    </row>
    <row r="72" spans="6:57" x14ac:dyDescent="0.25">
      <c r="F72" s="125" t="s">
        <v>465</v>
      </c>
    </row>
    <row r="73" spans="6:57" ht="16.5" thickBot="1" x14ac:dyDescent="0.3"/>
    <row r="74" spans="6:57" x14ac:dyDescent="0.25">
      <c r="F74" s="258"/>
      <c r="G74" s="259"/>
      <c r="H74" s="259"/>
      <c r="I74" s="260"/>
      <c r="J74" s="259"/>
      <c r="K74" s="259"/>
      <c r="L74" s="259"/>
      <c r="M74" s="259"/>
      <c r="N74" s="259"/>
      <c r="O74" s="259"/>
      <c r="P74" s="259"/>
      <c r="Q74" s="261"/>
      <c r="R74" s="259"/>
      <c r="S74" s="262"/>
    </row>
    <row r="75" spans="6:57" x14ac:dyDescent="0.25">
      <c r="F75" s="263"/>
      <c r="Q75" s="112"/>
      <c r="R75" s="3"/>
      <c r="S75" s="264"/>
      <c r="AX75" s="112"/>
      <c r="AY75" s="3"/>
    </row>
    <row r="76" spans="6:57" ht="15" customHeight="1" x14ac:dyDescent="0.25">
      <c r="F76" s="263"/>
      <c r="M76" s="458" t="s">
        <v>327</v>
      </c>
      <c r="N76" s="458" t="s">
        <v>328</v>
      </c>
      <c r="O76" s="458" t="s">
        <v>325</v>
      </c>
      <c r="S76" s="264"/>
    </row>
    <row r="77" spans="6:57" ht="15" customHeight="1" x14ac:dyDescent="0.25">
      <c r="F77" s="263"/>
      <c r="J77" s="1" t="s">
        <v>176</v>
      </c>
      <c r="K77" s="1" t="s">
        <v>178</v>
      </c>
      <c r="L77" s="226" t="s">
        <v>183</v>
      </c>
      <c r="M77" s="458"/>
      <c r="N77" s="458"/>
      <c r="O77" s="458"/>
      <c r="P77" s="227" t="s">
        <v>184</v>
      </c>
      <c r="Q77" s="1" t="s">
        <v>185</v>
      </c>
      <c r="S77" s="264"/>
    </row>
    <row r="78" spans="6:57" x14ac:dyDescent="0.25">
      <c r="F78" s="263"/>
      <c r="J78" s="175" t="s">
        <v>17</v>
      </c>
      <c r="K78" s="175" t="s">
        <v>17</v>
      </c>
      <c r="L78" s="228" t="s">
        <v>189</v>
      </c>
      <c r="M78" s="458"/>
      <c r="N78" s="458"/>
      <c r="O78" s="458"/>
      <c r="P78" s="229" t="s">
        <v>190</v>
      </c>
      <c r="Q78" s="175" t="s">
        <v>190</v>
      </c>
      <c r="S78" s="264"/>
    </row>
    <row r="79" spans="6:57" x14ac:dyDescent="0.25">
      <c r="F79" s="263"/>
      <c r="H79" s="446" t="s">
        <v>20</v>
      </c>
      <c r="I79" s="230" t="s">
        <v>202</v>
      </c>
      <c r="J79" s="230"/>
      <c r="K79" s="230"/>
      <c r="L79" s="230"/>
      <c r="M79" s="231"/>
      <c r="N79" s="231"/>
      <c r="O79" s="231"/>
      <c r="P79" s="230"/>
      <c r="Q79" s="230"/>
      <c r="S79" s="264"/>
    </row>
    <row r="80" spans="6:57" x14ac:dyDescent="0.25">
      <c r="F80" s="263"/>
      <c r="H80" s="446"/>
      <c r="I80" s="230" t="s">
        <v>194</v>
      </c>
      <c r="J80" s="230">
        <f>S22</f>
        <v>0.3</v>
      </c>
      <c r="K80" s="230">
        <f>V22</f>
        <v>0.2</v>
      </c>
      <c r="L80" s="232">
        <f>AA22</f>
        <v>2.9250000000000003</v>
      </c>
      <c r="M80" s="231"/>
      <c r="N80" s="231"/>
      <c r="O80" s="231"/>
      <c r="P80" s="232">
        <f>AB22</f>
        <v>11.700000000000001</v>
      </c>
      <c r="Q80" s="232">
        <f>AC22</f>
        <v>11.700000000000001</v>
      </c>
      <c r="S80" s="264"/>
    </row>
    <row r="81" spans="6:19" x14ac:dyDescent="0.25">
      <c r="F81" s="263"/>
      <c r="H81" s="446"/>
      <c r="I81" s="230" t="s">
        <v>197</v>
      </c>
      <c r="J81" s="230"/>
      <c r="K81" s="230"/>
      <c r="L81" s="232"/>
      <c r="M81" s="231"/>
      <c r="N81" s="231"/>
      <c r="O81" s="231"/>
      <c r="P81" s="232"/>
      <c r="Q81" s="232"/>
      <c r="S81" s="264"/>
    </row>
    <row r="82" spans="6:19" x14ac:dyDescent="0.25">
      <c r="F82" s="263"/>
      <c r="H82" s="446"/>
      <c r="I82" s="230" t="s">
        <v>194</v>
      </c>
      <c r="J82" s="230">
        <f>S24</f>
        <v>0.25</v>
      </c>
      <c r="K82" s="230">
        <f>V24</f>
        <v>0.2</v>
      </c>
      <c r="L82" s="232">
        <f>AA24</f>
        <v>19.781125000000003</v>
      </c>
      <c r="M82" s="231"/>
      <c r="N82" s="231"/>
      <c r="O82" s="231"/>
      <c r="P82" s="232">
        <f>AB24</f>
        <v>33.910500000000006</v>
      </c>
      <c r="Q82" s="232">
        <f>AC24</f>
        <v>33.910500000000006</v>
      </c>
      <c r="S82" s="264"/>
    </row>
    <row r="83" spans="6:19" x14ac:dyDescent="0.25">
      <c r="F83" s="263"/>
      <c r="H83" s="446"/>
      <c r="I83" s="230" t="s">
        <v>205</v>
      </c>
      <c r="J83" s="231"/>
      <c r="K83" s="231"/>
      <c r="L83" s="233"/>
      <c r="M83" s="231"/>
      <c r="N83" s="231"/>
      <c r="O83" s="231"/>
      <c r="P83" s="233"/>
      <c r="Q83" s="233"/>
      <c r="S83" s="264"/>
    </row>
    <row r="84" spans="6:19" x14ac:dyDescent="0.25">
      <c r="F84" s="263"/>
      <c r="H84" s="446"/>
      <c r="I84" s="230" t="s">
        <v>194</v>
      </c>
      <c r="J84" s="230">
        <f>S26</f>
        <v>0.3</v>
      </c>
      <c r="K84" s="230">
        <f>V26</f>
        <v>0.2</v>
      </c>
      <c r="L84" s="232">
        <f>AA26</f>
        <v>16.584</v>
      </c>
      <c r="M84" s="231"/>
      <c r="N84" s="231"/>
      <c r="O84" s="231"/>
      <c r="P84" s="232">
        <f>AB26</f>
        <v>24.876000000000001</v>
      </c>
      <c r="Q84" s="232">
        <f>AC26</f>
        <v>24.876000000000001</v>
      </c>
      <c r="S84" s="264"/>
    </row>
    <row r="85" spans="6:19" x14ac:dyDescent="0.25">
      <c r="F85" s="263"/>
      <c r="H85" s="446" t="s">
        <v>206</v>
      </c>
      <c r="I85" s="230" t="s">
        <v>205</v>
      </c>
      <c r="J85" s="231"/>
      <c r="K85" s="231"/>
      <c r="L85" s="233"/>
      <c r="M85" s="231"/>
      <c r="N85" s="231"/>
      <c r="O85" s="231"/>
      <c r="P85" s="233"/>
      <c r="Q85" s="233"/>
      <c r="S85" s="264"/>
    </row>
    <row r="86" spans="6:19" x14ac:dyDescent="0.25">
      <c r="F86" s="263"/>
      <c r="H86" s="446"/>
      <c r="I86" s="230" t="s">
        <v>194</v>
      </c>
      <c r="J86" s="230">
        <f>S28</f>
        <v>0.3</v>
      </c>
      <c r="K86" s="230">
        <f>V28</f>
        <v>0.15</v>
      </c>
      <c r="L86" s="232">
        <f>AA28</f>
        <v>9.3339275000000015</v>
      </c>
      <c r="M86" s="231"/>
      <c r="N86" s="231"/>
      <c r="O86" s="231"/>
      <c r="P86" s="232">
        <f>AB28</f>
        <v>14.000891250000002</v>
      </c>
      <c r="Q86" s="232">
        <f>AC28</f>
        <v>14.000891250000002</v>
      </c>
      <c r="S86" s="264"/>
    </row>
    <row r="87" spans="6:19" x14ac:dyDescent="0.25">
      <c r="F87" s="263"/>
      <c r="H87" s="446" t="s">
        <v>208</v>
      </c>
      <c r="I87" s="230" t="s">
        <v>202</v>
      </c>
      <c r="J87" s="230"/>
      <c r="K87" s="230"/>
      <c r="L87" s="232"/>
      <c r="M87" s="231"/>
      <c r="N87" s="231"/>
      <c r="O87" s="231"/>
      <c r="P87" s="232"/>
      <c r="Q87" s="232"/>
      <c r="S87" s="264"/>
    </row>
    <row r="88" spans="6:19" x14ac:dyDescent="0.25">
      <c r="F88" s="263"/>
      <c r="H88" s="446"/>
      <c r="I88" s="230" t="s">
        <v>194</v>
      </c>
      <c r="J88" s="230">
        <f>S30</f>
        <v>0.4</v>
      </c>
      <c r="K88" s="230">
        <f>V30</f>
        <v>0.25</v>
      </c>
      <c r="L88" s="232">
        <f>AA30</f>
        <v>1.1328749999999999</v>
      </c>
      <c r="M88" s="231"/>
      <c r="N88" s="231"/>
      <c r="O88" s="231"/>
      <c r="P88" s="232">
        <f>AB30</f>
        <v>4.5314999999999994</v>
      </c>
      <c r="Q88" s="232">
        <f>AC30</f>
        <v>4.5314999999999994</v>
      </c>
      <c r="S88" s="264"/>
    </row>
    <row r="89" spans="6:19" x14ac:dyDescent="0.25">
      <c r="F89" s="263"/>
      <c r="H89" s="446"/>
      <c r="I89" s="230" t="s">
        <v>197</v>
      </c>
      <c r="J89" s="231"/>
      <c r="K89" s="231"/>
      <c r="L89" s="233"/>
      <c r="M89" s="231"/>
      <c r="N89" s="231"/>
      <c r="O89" s="231"/>
      <c r="P89" s="233"/>
      <c r="Q89" s="233"/>
      <c r="S89" s="264"/>
    </row>
    <row r="90" spans="6:19" x14ac:dyDescent="0.25">
      <c r="F90" s="263"/>
      <c r="H90" s="446"/>
      <c r="I90" s="230" t="s">
        <v>194</v>
      </c>
      <c r="J90" s="230">
        <f>S32</f>
        <v>0.4</v>
      </c>
      <c r="K90" s="230">
        <f>V32</f>
        <v>0.25</v>
      </c>
      <c r="L90" s="232">
        <f>AA32</f>
        <v>28.782833333333336</v>
      </c>
      <c r="M90" s="231"/>
      <c r="N90" s="231"/>
      <c r="O90" s="231"/>
      <c r="P90" s="232">
        <f>AB32</f>
        <v>49.342000000000006</v>
      </c>
      <c r="Q90" s="232">
        <f>AC32</f>
        <v>49.342000000000006</v>
      </c>
      <c r="S90" s="264"/>
    </row>
    <row r="91" spans="6:19" x14ac:dyDescent="0.25">
      <c r="F91" s="263"/>
      <c r="H91" s="446"/>
      <c r="I91" s="234" t="s">
        <v>205</v>
      </c>
      <c r="J91" s="235"/>
      <c r="K91" s="235"/>
      <c r="L91" s="236"/>
      <c r="M91" s="235"/>
      <c r="N91" s="235"/>
      <c r="O91" s="235"/>
      <c r="P91" s="236"/>
      <c r="Q91" s="236"/>
      <c r="S91" s="264"/>
    </row>
    <row r="92" spans="6:19" x14ac:dyDescent="0.25">
      <c r="F92" s="263"/>
      <c r="H92" s="446"/>
      <c r="I92" s="234" t="s">
        <v>194</v>
      </c>
      <c r="J92" s="234">
        <f>S34</f>
        <v>0.4</v>
      </c>
      <c r="K92" s="234">
        <f>V34</f>
        <v>0.25</v>
      </c>
      <c r="L92" s="237">
        <f>AA34</f>
        <v>0</v>
      </c>
      <c r="M92" s="236">
        <f>BA22</f>
        <v>37.350223808593753</v>
      </c>
      <c r="N92" s="236">
        <f t="shared" ref="N92:O92" si="3">BB22</f>
        <v>67.657157662760426</v>
      </c>
      <c r="O92" s="236">
        <f t="shared" si="3"/>
        <v>9.9128985339881694</v>
      </c>
      <c r="P92" s="237">
        <f>BE22</f>
        <v>46.779532786458347</v>
      </c>
      <c r="Q92" s="237">
        <f>BF22</f>
        <v>71.63474971354168</v>
      </c>
      <c r="S92" s="264"/>
    </row>
    <row r="93" spans="6:19" x14ac:dyDescent="0.25">
      <c r="F93" s="263"/>
      <c r="H93" s="446" t="s">
        <v>210</v>
      </c>
      <c r="I93" s="230" t="s">
        <v>211</v>
      </c>
      <c r="J93" s="230"/>
      <c r="K93" s="230"/>
      <c r="L93" s="232"/>
      <c r="M93" s="231"/>
      <c r="N93" s="231"/>
      <c r="O93" s="231"/>
      <c r="P93" s="232"/>
      <c r="Q93" s="232"/>
      <c r="S93" s="264"/>
    </row>
    <row r="94" spans="6:19" x14ac:dyDescent="0.25">
      <c r="F94" s="263"/>
      <c r="H94" s="446"/>
      <c r="I94" s="230" t="s">
        <v>194</v>
      </c>
      <c r="J94" s="230">
        <f>S36</f>
        <v>0.25</v>
      </c>
      <c r="K94" s="230">
        <f>V36</f>
        <v>0.15</v>
      </c>
      <c r="L94" s="232">
        <f>AA36</f>
        <v>4.7912499999999998</v>
      </c>
      <c r="M94" s="231"/>
      <c r="N94" s="231"/>
      <c r="O94" s="231"/>
      <c r="P94" s="232">
        <f>AB36</f>
        <v>11.498999999999999</v>
      </c>
      <c r="Q94" s="232">
        <f>AC36</f>
        <v>11.498999999999999</v>
      </c>
      <c r="S94" s="264"/>
    </row>
    <row r="95" spans="6:19" x14ac:dyDescent="0.25">
      <c r="F95" s="263"/>
      <c r="H95" s="446" t="s">
        <v>212</v>
      </c>
      <c r="I95" s="230" t="s">
        <v>197</v>
      </c>
      <c r="J95" s="231"/>
      <c r="K95" s="231"/>
      <c r="L95" s="233"/>
      <c r="M95" s="231"/>
      <c r="N95" s="231"/>
      <c r="O95" s="231"/>
      <c r="P95" s="233"/>
      <c r="Q95" s="233"/>
      <c r="S95" s="264"/>
    </row>
    <row r="96" spans="6:19" x14ac:dyDescent="0.25">
      <c r="F96" s="263"/>
      <c r="H96" s="446"/>
      <c r="I96" s="230" t="s">
        <v>194</v>
      </c>
      <c r="J96" s="230">
        <f>S38</f>
        <v>0.4</v>
      </c>
      <c r="K96" s="230">
        <f>V38</f>
        <v>0.25</v>
      </c>
      <c r="L96" s="232">
        <f>AA38</f>
        <v>21.404833333333332</v>
      </c>
      <c r="M96" s="231"/>
      <c r="N96" s="231"/>
      <c r="O96" s="231"/>
      <c r="P96" s="232">
        <f>AB38</f>
        <v>36.694000000000003</v>
      </c>
      <c r="Q96" s="232">
        <f>AC38</f>
        <v>36.694000000000003</v>
      </c>
      <c r="S96" s="264"/>
    </row>
    <row r="97" spans="6:19" x14ac:dyDescent="0.25">
      <c r="F97" s="263"/>
      <c r="H97" s="446"/>
      <c r="I97" s="234" t="s">
        <v>205</v>
      </c>
      <c r="J97" s="235"/>
      <c r="K97" s="235"/>
      <c r="L97" s="236"/>
      <c r="M97" s="235"/>
      <c r="N97" s="235"/>
      <c r="O97" s="235"/>
      <c r="P97" s="236"/>
      <c r="Q97" s="236"/>
      <c r="S97" s="264"/>
    </row>
    <row r="98" spans="6:19" x14ac:dyDescent="0.25">
      <c r="F98" s="263"/>
      <c r="H98" s="446"/>
      <c r="I98" s="234" t="s">
        <v>194</v>
      </c>
      <c r="J98" s="234">
        <f>S40</f>
        <v>0.4</v>
      </c>
      <c r="K98" s="234">
        <f>V40</f>
        <v>0.25</v>
      </c>
      <c r="L98" s="237">
        <f>AA40</f>
        <v>0</v>
      </c>
      <c r="M98" s="236">
        <f>BA24</f>
        <v>31.005343750000002</v>
      </c>
      <c r="N98" s="236">
        <f t="shared" ref="N98:O98" si="4">BB24</f>
        <v>59.759197916666665</v>
      </c>
      <c r="O98" s="236">
        <f t="shared" si="4"/>
        <v>9.1545888057989089</v>
      </c>
      <c r="P98" s="237">
        <f>BE24</f>
        <v>37.81766145833334</v>
      </c>
      <c r="Q98" s="237">
        <f>BF24</f>
        <v>69.928838541666664</v>
      </c>
      <c r="S98" s="264"/>
    </row>
    <row r="99" spans="6:19" x14ac:dyDescent="0.25">
      <c r="F99" s="263"/>
      <c r="H99" s="446"/>
      <c r="I99" s="230" t="s">
        <v>211</v>
      </c>
      <c r="J99" s="230"/>
      <c r="K99" s="230"/>
      <c r="L99" s="232"/>
      <c r="M99" s="231"/>
      <c r="N99" s="231"/>
      <c r="O99" s="231"/>
      <c r="P99" s="232"/>
      <c r="Q99" s="232"/>
      <c r="S99" s="264"/>
    </row>
    <row r="100" spans="6:19" x14ac:dyDescent="0.25">
      <c r="F100" s="263"/>
      <c r="H100" s="446"/>
      <c r="I100" s="230" t="s">
        <v>194</v>
      </c>
      <c r="J100" s="230">
        <f>S42</f>
        <v>0.4</v>
      </c>
      <c r="K100" s="230">
        <f>V42</f>
        <v>0.25</v>
      </c>
      <c r="L100" s="232">
        <f>AA42</f>
        <v>5.7287499999999989</v>
      </c>
      <c r="M100" s="231"/>
      <c r="N100" s="231"/>
      <c r="O100" s="231"/>
      <c r="P100" s="232">
        <f>AB42</f>
        <v>13.748999999999999</v>
      </c>
      <c r="Q100" s="232">
        <f>AC42</f>
        <v>13.748999999999999</v>
      </c>
      <c r="S100" s="264"/>
    </row>
    <row r="101" spans="6:19" x14ac:dyDescent="0.25">
      <c r="F101" s="263"/>
      <c r="H101" s="446">
        <v>2</v>
      </c>
      <c r="I101" s="230" t="s">
        <v>214</v>
      </c>
      <c r="J101" s="231"/>
      <c r="K101" s="231"/>
      <c r="L101" s="233"/>
      <c r="M101" s="231"/>
      <c r="N101" s="231"/>
      <c r="O101" s="231"/>
      <c r="P101" s="233"/>
      <c r="Q101" s="233"/>
      <c r="S101" s="264"/>
    </row>
    <row r="102" spans="6:19" x14ac:dyDescent="0.25">
      <c r="F102" s="263"/>
      <c r="H102" s="446"/>
      <c r="I102" s="230" t="s">
        <v>194</v>
      </c>
      <c r="J102" s="230">
        <f>S50</f>
        <v>0.25</v>
      </c>
      <c r="K102" s="230">
        <f>V50</f>
        <v>0.15</v>
      </c>
      <c r="L102" s="232">
        <f>AA50</f>
        <v>4.3672500000000003</v>
      </c>
      <c r="M102" s="231"/>
      <c r="N102" s="231"/>
      <c r="O102" s="231"/>
      <c r="P102" s="232">
        <f>AB50</f>
        <v>8.7345000000000006</v>
      </c>
      <c r="Q102" s="232">
        <f>AC50</f>
        <v>8.7345000000000006</v>
      </c>
      <c r="S102" s="264"/>
    </row>
    <row r="103" spans="6:19" x14ac:dyDescent="0.25">
      <c r="F103" s="263"/>
      <c r="H103" s="446">
        <v>3</v>
      </c>
      <c r="I103" s="230" t="s">
        <v>214</v>
      </c>
      <c r="J103" s="230"/>
      <c r="K103" s="238"/>
      <c r="L103" s="230"/>
      <c r="M103" s="231"/>
      <c r="N103" s="231"/>
      <c r="O103" s="231"/>
      <c r="P103" s="230"/>
      <c r="Q103" s="230"/>
      <c r="S103" s="264"/>
    </row>
    <row r="104" spans="6:19" x14ac:dyDescent="0.25">
      <c r="F104" s="263"/>
      <c r="H104" s="446"/>
      <c r="I104" s="230" t="s">
        <v>194</v>
      </c>
      <c r="J104" s="230">
        <f>S52</f>
        <v>0.3</v>
      </c>
      <c r="K104" s="230">
        <f>V52</f>
        <v>0.2</v>
      </c>
      <c r="L104" s="232">
        <f>AA52</f>
        <v>17.628750000000004</v>
      </c>
      <c r="M104" s="231"/>
      <c r="N104" s="231"/>
      <c r="O104" s="231"/>
      <c r="P104" s="232">
        <f>AB52</f>
        <v>35.257500000000007</v>
      </c>
      <c r="Q104" s="232">
        <f>AC52</f>
        <v>35.257500000000007</v>
      </c>
      <c r="S104" s="264"/>
    </row>
    <row r="105" spans="6:19" x14ac:dyDescent="0.25">
      <c r="F105" s="263"/>
      <c r="H105" s="446"/>
      <c r="I105" s="230" t="s">
        <v>217</v>
      </c>
      <c r="J105" s="230"/>
      <c r="K105" s="230"/>
      <c r="L105" s="230"/>
      <c r="M105" s="231"/>
      <c r="N105" s="231"/>
      <c r="O105" s="231"/>
      <c r="P105" s="230"/>
      <c r="Q105" s="230"/>
      <c r="S105" s="264"/>
    </row>
    <row r="106" spans="6:19" x14ac:dyDescent="0.25">
      <c r="F106" s="263"/>
      <c r="H106" s="446"/>
      <c r="I106" s="230" t="s">
        <v>194</v>
      </c>
      <c r="J106" s="230">
        <f>S54</f>
        <v>0.3</v>
      </c>
      <c r="K106" s="230">
        <f>V54</f>
        <v>0.2</v>
      </c>
      <c r="L106" s="232">
        <f>AA54</f>
        <v>20.228833333333334</v>
      </c>
      <c r="M106" s="231"/>
      <c r="N106" s="231"/>
      <c r="O106" s="231"/>
      <c r="P106" s="232">
        <f>AB54</f>
        <v>34.678000000000004</v>
      </c>
      <c r="Q106" s="232">
        <f>AC54</f>
        <v>34.678000000000004</v>
      </c>
      <c r="S106" s="264"/>
    </row>
    <row r="107" spans="6:19" x14ac:dyDescent="0.25">
      <c r="F107" s="263"/>
      <c r="H107" s="446">
        <v>4</v>
      </c>
      <c r="I107" s="234" t="s">
        <v>214</v>
      </c>
      <c r="J107" s="234"/>
      <c r="K107" s="234"/>
      <c r="L107" s="234"/>
      <c r="M107" s="235"/>
      <c r="N107" s="235"/>
      <c r="O107" s="235"/>
      <c r="P107" s="234"/>
      <c r="Q107" s="234"/>
      <c r="S107" s="264"/>
    </row>
    <row r="108" spans="6:19" x14ac:dyDescent="0.25">
      <c r="F108" s="263"/>
      <c r="H108" s="446"/>
      <c r="I108" s="234" t="s">
        <v>194</v>
      </c>
      <c r="J108" s="234">
        <f>S56</f>
        <v>0.3</v>
      </c>
      <c r="K108" s="234">
        <f>V56</f>
        <v>0.2</v>
      </c>
      <c r="L108" s="237">
        <f>AA56</f>
        <v>0</v>
      </c>
      <c r="M108" s="236">
        <f>BA50</f>
        <v>19.595529522509764</v>
      </c>
      <c r="N108" s="236">
        <f t="shared" ref="N108:O108" si="5">BB50</f>
        <v>15.156563809306641</v>
      </c>
      <c r="O108" s="236">
        <f t="shared" si="5"/>
        <v>8.7149269837265564</v>
      </c>
      <c r="P108" s="237">
        <f>BE50</f>
        <v>34.165054612734373</v>
      </c>
      <c r="Q108" s="237">
        <f>BF50</f>
        <v>23.919704137265629</v>
      </c>
      <c r="S108" s="264"/>
    </row>
    <row r="109" spans="6:19" x14ac:dyDescent="0.25">
      <c r="F109" s="263"/>
      <c r="H109" s="446"/>
      <c r="I109" s="230" t="s">
        <v>217</v>
      </c>
      <c r="J109" s="230"/>
      <c r="K109" s="238"/>
      <c r="L109" s="230"/>
      <c r="M109" s="231"/>
      <c r="N109" s="231"/>
      <c r="O109" s="231"/>
      <c r="P109" s="230"/>
      <c r="Q109" s="230"/>
      <c r="S109" s="264"/>
    </row>
    <row r="110" spans="6:19" x14ac:dyDescent="0.25">
      <c r="F110" s="263"/>
      <c r="H110" s="446"/>
      <c r="I110" s="230" t="s">
        <v>194</v>
      </c>
      <c r="J110" s="230">
        <f>S58</f>
        <v>0.3</v>
      </c>
      <c r="K110" s="230">
        <f>V58</f>
        <v>0.2</v>
      </c>
      <c r="L110" s="232">
        <f>AA58</f>
        <v>26.377166666666668</v>
      </c>
      <c r="M110" s="231"/>
      <c r="N110" s="231"/>
      <c r="O110" s="231"/>
      <c r="P110" s="232">
        <f>AB58</f>
        <v>45.218000000000004</v>
      </c>
      <c r="Q110" s="232">
        <f>AC58</f>
        <v>45.218000000000004</v>
      </c>
      <c r="S110" s="264"/>
    </row>
    <row r="111" spans="6:19" x14ac:dyDescent="0.25">
      <c r="F111" s="263"/>
      <c r="H111" s="446">
        <v>6</v>
      </c>
      <c r="I111" s="230" t="s">
        <v>217</v>
      </c>
      <c r="J111" s="230"/>
      <c r="K111" s="230"/>
      <c r="L111" s="230"/>
      <c r="M111" s="231"/>
      <c r="N111" s="231"/>
      <c r="O111" s="231"/>
      <c r="P111" s="230"/>
      <c r="Q111" s="230"/>
      <c r="S111" s="264"/>
    </row>
    <row r="112" spans="6:19" x14ac:dyDescent="0.25">
      <c r="F112" s="263"/>
      <c r="H112" s="446"/>
      <c r="I112" s="230" t="s">
        <v>194</v>
      </c>
      <c r="J112" s="230">
        <f>S60</f>
        <v>0.3</v>
      </c>
      <c r="K112" s="230">
        <f>V60</f>
        <v>0.2</v>
      </c>
      <c r="L112" s="232">
        <f>AA60</f>
        <v>22.534458333333337</v>
      </c>
      <c r="M112" s="231"/>
      <c r="N112" s="231"/>
      <c r="O112" s="231"/>
      <c r="P112" s="232">
        <f>AB60</f>
        <v>38.630500000000005</v>
      </c>
      <c r="Q112" s="232">
        <f>AC60</f>
        <v>38.630500000000005</v>
      </c>
      <c r="S112" s="264"/>
    </row>
    <row r="113" spans="6:51" x14ac:dyDescent="0.25">
      <c r="F113" s="263"/>
      <c r="H113" s="446">
        <v>7</v>
      </c>
      <c r="I113" s="239" t="s">
        <v>214</v>
      </c>
      <c r="J113" s="239"/>
      <c r="K113" s="239"/>
      <c r="L113" s="239"/>
      <c r="M113" s="240"/>
      <c r="N113" s="240"/>
      <c r="O113" s="240"/>
      <c r="P113" s="239"/>
      <c r="Q113" s="239"/>
      <c r="S113" s="264"/>
    </row>
    <row r="114" spans="6:51" x14ac:dyDescent="0.25">
      <c r="F114" s="263"/>
      <c r="H114" s="446"/>
      <c r="I114" s="239" t="s">
        <v>194</v>
      </c>
      <c r="J114" s="239">
        <f>S62</f>
        <v>0.3</v>
      </c>
      <c r="K114" s="239">
        <f>V62</f>
        <v>0.2</v>
      </c>
      <c r="L114" s="241">
        <f>AA62</f>
        <v>0</v>
      </c>
      <c r="M114" s="242">
        <f>BA52</f>
        <v>19.045745866845706</v>
      </c>
      <c r="N114" s="242">
        <f t="shared" ref="N114:O114" si="6">BB52</f>
        <v>16.45629017317383</v>
      </c>
      <c r="O114" s="242">
        <f t="shared" si="6"/>
        <v>8.2963956779648349</v>
      </c>
      <c r="P114" s="241">
        <f>BE52</f>
        <v>29.374041897890624</v>
      </c>
      <c r="Q114" s="241">
        <f>BF52</f>
        <v>28.213466852109381</v>
      </c>
      <c r="S114" s="264"/>
    </row>
    <row r="115" spans="6:51" x14ac:dyDescent="0.25">
      <c r="F115" s="263"/>
      <c r="H115" s="446"/>
      <c r="I115" s="239" t="s">
        <v>217</v>
      </c>
      <c r="J115" s="239"/>
      <c r="K115" s="243"/>
      <c r="L115" s="239"/>
      <c r="M115" s="240"/>
      <c r="N115" s="240"/>
      <c r="O115" s="240"/>
      <c r="P115" s="239"/>
      <c r="Q115" s="239"/>
      <c r="S115" s="264"/>
    </row>
    <row r="116" spans="6:51" x14ac:dyDescent="0.25">
      <c r="F116" s="263"/>
      <c r="H116" s="446"/>
      <c r="I116" s="239" t="s">
        <v>194</v>
      </c>
      <c r="J116" s="239">
        <f>S64</f>
        <v>0.3</v>
      </c>
      <c r="K116" s="239">
        <f>V64</f>
        <v>0.2</v>
      </c>
      <c r="L116" s="241">
        <f>AA64</f>
        <v>0</v>
      </c>
      <c r="M116" s="242">
        <f>BA54</f>
        <v>20.736518586005829</v>
      </c>
      <c r="N116" s="242">
        <f t="shared" ref="N116" si="7">BB54</f>
        <v>16.032224368318758</v>
      </c>
      <c r="O116" s="242">
        <f t="shared" ref="O116" si="8">BC54</f>
        <v>8.9991789358600514</v>
      </c>
      <c r="P116" s="241">
        <f>BE54</f>
        <v>31.538584062196303</v>
      </c>
      <c r="Q116" s="241">
        <f>BF54</f>
        <v>21.641415937803696</v>
      </c>
      <c r="S116" s="264"/>
    </row>
    <row r="117" spans="6:51" x14ac:dyDescent="0.25">
      <c r="F117" s="263"/>
      <c r="H117" s="446">
        <v>8</v>
      </c>
      <c r="I117" s="230" t="s">
        <v>220</v>
      </c>
      <c r="J117" s="230"/>
      <c r="K117" s="230"/>
      <c r="L117" s="230"/>
      <c r="M117" s="231"/>
      <c r="N117" s="231"/>
      <c r="O117" s="231"/>
      <c r="P117" s="230"/>
      <c r="Q117" s="230"/>
      <c r="S117" s="264"/>
    </row>
    <row r="118" spans="6:51" x14ac:dyDescent="0.25">
      <c r="F118" s="263"/>
      <c r="H118" s="446"/>
      <c r="I118" s="230" t="s">
        <v>194</v>
      </c>
      <c r="J118" s="230">
        <f>S66</f>
        <v>0.25</v>
      </c>
      <c r="K118" s="230">
        <f>V66</f>
        <v>0.15</v>
      </c>
      <c r="L118" s="232">
        <f>AA66</f>
        <v>2.785333333333333</v>
      </c>
      <c r="M118" s="231"/>
      <c r="N118" s="231"/>
      <c r="O118" s="231"/>
      <c r="P118" s="232">
        <f>AB66</f>
        <v>8.3559999999999999</v>
      </c>
      <c r="Q118" s="232">
        <f>AC66</f>
        <v>8.3559999999999999</v>
      </c>
      <c r="S118" s="264"/>
    </row>
    <row r="119" spans="6:51" ht="16.5" thickBot="1" x14ac:dyDescent="0.3">
      <c r="F119" s="265"/>
      <c r="G119" s="266"/>
      <c r="H119" s="266"/>
      <c r="I119" s="267"/>
      <c r="J119" s="266"/>
      <c r="K119" s="266"/>
      <c r="L119" s="266"/>
      <c r="M119" s="266"/>
      <c r="N119" s="266"/>
      <c r="O119" s="266"/>
      <c r="P119" s="266"/>
      <c r="Q119" s="266"/>
      <c r="R119" s="268"/>
      <c r="S119" s="269"/>
      <c r="AX119" s="112"/>
      <c r="AY119" s="3"/>
    </row>
  </sheetData>
  <mergeCells count="72">
    <mergeCell ref="C9:E9"/>
    <mergeCell ref="N21:N26"/>
    <mergeCell ref="N27:N28"/>
    <mergeCell ref="N29:N34"/>
    <mergeCell ref="N35:N36"/>
    <mergeCell ref="BW19:BW20"/>
    <mergeCell ref="AF19:AH19"/>
    <mergeCell ref="AO19:AP19"/>
    <mergeCell ref="AQ19:AR19"/>
    <mergeCell ref="AF20:AH20"/>
    <mergeCell ref="AO20:AP20"/>
    <mergeCell ref="AQ20:AR20"/>
    <mergeCell ref="BH23:BH24"/>
    <mergeCell ref="BH21:BH22"/>
    <mergeCell ref="AQ22:AR22"/>
    <mergeCell ref="AF23:AF24"/>
    <mergeCell ref="AQ24:AR24"/>
    <mergeCell ref="AF21:AF22"/>
    <mergeCell ref="AQ21:AR21"/>
    <mergeCell ref="BW47:BW48"/>
    <mergeCell ref="BH48:BJ48"/>
    <mergeCell ref="BD19:BD24"/>
    <mergeCell ref="AF47:AH47"/>
    <mergeCell ref="AF48:AH48"/>
    <mergeCell ref="BD47:BD54"/>
    <mergeCell ref="BH20:BJ20"/>
    <mergeCell ref="BH19:BJ19"/>
    <mergeCell ref="BK19:BO20"/>
    <mergeCell ref="BP19:BP20"/>
    <mergeCell ref="BR19:BV20"/>
    <mergeCell ref="AO47:AP47"/>
    <mergeCell ref="AQ47:AR47"/>
    <mergeCell ref="AO48:AP48"/>
    <mergeCell ref="AQ48:AR48"/>
    <mergeCell ref="AF49:AF50"/>
    <mergeCell ref="BH47:BJ47"/>
    <mergeCell ref="BK47:BO48"/>
    <mergeCell ref="BP47:BP48"/>
    <mergeCell ref="BR47:BV48"/>
    <mergeCell ref="AQ53:AR53"/>
    <mergeCell ref="H117:H118"/>
    <mergeCell ref="BH49:BH50"/>
    <mergeCell ref="BH51:BH54"/>
    <mergeCell ref="H87:H92"/>
    <mergeCell ref="H93:H94"/>
    <mergeCell ref="H95:H100"/>
    <mergeCell ref="H101:H102"/>
    <mergeCell ref="H103:H106"/>
    <mergeCell ref="M76:M78"/>
    <mergeCell ref="O76:O78"/>
    <mergeCell ref="N76:N78"/>
    <mergeCell ref="H79:H84"/>
    <mergeCell ref="H85:H86"/>
    <mergeCell ref="AQ54:AR54"/>
    <mergeCell ref="AF51:AF54"/>
    <mergeCell ref="N65:N66"/>
    <mergeCell ref="H113:H116"/>
    <mergeCell ref="N19:P19"/>
    <mergeCell ref="N20:P20"/>
    <mergeCell ref="N37:N42"/>
    <mergeCell ref="N47:P47"/>
    <mergeCell ref="N48:P48"/>
    <mergeCell ref="N49:N50"/>
    <mergeCell ref="N51:N54"/>
    <mergeCell ref="N55:N58"/>
    <mergeCell ref="N59:N60"/>
    <mergeCell ref="N61:N64"/>
    <mergeCell ref="BA14:BC14"/>
    <mergeCell ref="AD47:AD48"/>
    <mergeCell ref="AD19:AD20"/>
    <mergeCell ref="H107:H110"/>
    <mergeCell ref="H111:H112"/>
  </mergeCells>
  <pageMargins left="0.7" right="0.7" top="0.75" bottom="0.75" header="0.3" footer="0.3"/>
  <pageSetup paperSize="9" orientation="portrait" r:id="rId1"/>
  <ignoredErrors>
    <ignoredError sqref="S26 S32" formulaRange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EV96"/>
  <sheetViews>
    <sheetView topLeftCell="BW8" zoomScale="120" zoomScaleNormal="120" workbookViewId="0">
      <selection activeCell="CK23" sqref="CK23"/>
    </sheetView>
  </sheetViews>
  <sheetFormatPr defaultRowHeight="15.75" x14ac:dyDescent="0.25"/>
  <cols>
    <col min="1" max="5" width="9.140625" style="112"/>
    <col min="6" max="6" width="4.5703125" style="112" customWidth="1"/>
    <col min="7" max="7" width="9.140625" style="112"/>
    <col min="8" max="8" width="51.7109375" style="112" customWidth="1"/>
    <col min="9" max="9" width="9.140625" style="112" customWidth="1"/>
    <col min="10" max="11" width="9.140625" style="112"/>
    <col min="12" max="12" width="4.7109375" style="112" customWidth="1"/>
    <col min="13" max="14" width="8.7109375" style="112" customWidth="1"/>
    <col min="15" max="16" width="11.85546875" style="112" customWidth="1"/>
    <col min="17" max="25" width="8.7109375" style="112" customWidth="1"/>
    <col min="26" max="26" width="4.7109375" style="112" customWidth="1"/>
    <col min="27" max="28" width="8.7109375" style="112" customWidth="1"/>
    <col min="29" max="30" width="11.7109375" style="112" customWidth="1"/>
    <col min="31" max="38" width="8.7109375" style="112" customWidth="1"/>
    <col min="39" max="41" width="11.7109375" style="112" customWidth="1"/>
    <col min="42" max="42" width="12.42578125" style="112" customWidth="1"/>
    <col min="43" max="43" width="12" style="112" customWidth="1"/>
    <col min="44" max="45" width="8.7109375" style="112" customWidth="1"/>
    <col min="46" max="46" width="2.7109375" style="112" customWidth="1"/>
    <col min="47" max="47" width="6.7109375" style="3" customWidth="1"/>
    <col min="48" max="48" width="2.7109375" style="112" customWidth="1"/>
    <col min="49" max="51" width="8.7109375" style="112" customWidth="1"/>
    <col min="52" max="52" width="11.7109375" style="112" customWidth="1"/>
    <col min="53" max="54" width="8.7109375" style="112" customWidth="1"/>
    <col min="55" max="55" width="2.7109375" style="112" customWidth="1"/>
    <col min="56" max="56" width="6.5703125" style="112" customWidth="1"/>
    <col min="57" max="57" width="2.7109375" style="112" customWidth="1"/>
    <col min="58" max="58" width="8.7109375" style="112" customWidth="1"/>
    <col min="59" max="59" width="11.7109375" style="112" customWidth="1"/>
    <col min="60" max="60" width="8.7109375" style="112" customWidth="1"/>
    <col min="61" max="61" width="11.7109375" style="112" customWidth="1"/>
    <col min="62" max="62" width="8.7109375" style="112" customWidth="1"/>
    <col min="63" max="63" width="4.7109375" style="112" customWidth="1"/>
    <col min="64" max="65" width="8.7109375" style="112" customWidth="1"/>
    <col min="66" max="67" width="11.7109375" style="112" customWidth="1"/>
    <col min="68" max="75" width="8.7109375" style="112" customWidth="1"/>
    <col min="76" max="76" width="11.7109375" style="112" customWidth="1"/>
    <col min="77" max="77" width="12.85546875" style="112" customWidth="1"/>
    <col min="78" max="78" width="11.42578125" style="112" customWidth="1"/>
    <col min="79" max="79" width="12.140625" style="112" customWidth="1"/>
    <col min="80" max="80" width="9.7109375" style="112" customWidth="1"/>
    <col min="81" max="82" width="8.7109375" style="112" customWidth="1"/>
    <col min="83" max="83" width="2.7109375" style="112" customWidth="1"/>
    <col min="84" max="84" width="6.5703125" style="112" customWidth="1"/>
    <col min="85" max="85" width="2.7109375" style="112" customWidth="1"/>
    <col min="86" max="88" width="8.7109375" style="112" customWidth="1"/>
    <col min="89" max="89" width="11.7109375" style="112" customWidth="1"/>
    <col min="90" max="91" width="8.7109375" style="112" customWidth="1"/>
    <col min="92" max="92" width="2.7109375" style="112" customWidth="1"/>
    <col min="93" max="93" width="6.5703125" style="112" customWidth="1"/>
    <col min="94" max="94" width="2.7109375" style="112" customWidth="1"/>
    <col min="95" max="95" width="8.7109375" style="112" customWidth="1"/>
    <col min="96" max="96" width="11.7109375" style="112" customWidth="1"/>
    <col min="97" max="97" width="8.7109375" style="112" customWidth="1"/>
    <col min="98" max="98" width="11.7109375" style="112" customWidth="1"/>
    <col min="99" max="99" width="8.7109375" style="112" customWidth="1"/>
    <col min="100" max="100" width="4.7109375" style="112" customWidth="1"/>
    <col min="101" max="102" width="8.7109375" style="112" customWidth="1"/>
    <col min="103" max="104" width="11.7109375" style="112" customWidth="1"/>
    <col min="105" max="109" width="8.7109375" style="112" customWidth="1"/>
    <col min="110" max="110" width="21.7109375" style="112" customWidth="1"/>
    <col min="111" max="116" width="8.7109375" style="112" customWidth="1"/>
    <col min="117" max="117" width="14.7109375" style="112" customWidth="1"/>
    <col min="118" max="118" width="11.7109375" style="112" customWidth="1"/>
    <col min="119" max="119" width="8.7109375" style="112" customWidth="1"/>
    <col min="120" max="120" width="11.7109375" style="112" customWidth="1"/>
    <col min="121" max="121" width="4.42578125" style="112" customWidth="1"/>
    <col min="122" max="122" width="2.7109375" style="144" customWidth="1"/>
    <col min="123" max="123" width="3" style="112" customWidth="1"/>
    <col min="124" max="124" width="5.7109375" style="145" customWidth="1"/>
    <col min="125" max="126" width="9.140625" style="112"/>
    <col min="127" max="127" width="4.85546875" style="112" customWidth="1"/>
    <col min="128" max="129" width="9.5703125" style="112" customWidth="1"/>
    <col min="130" max="131" width="11.85546875" style="112" customWidth="1"/>
    <col min="132" max="134" width="8.7109375" style="112" customWidth="1"/>
    <col min="135" max="135" width="2.85546875" style="112" customWidth="1"/>
    <col min="136" max="136" width="6.7109375" style="112" customWidth="1"/>
    <col min="137" max="138" width="2.85546875" style="112" customWidth="1"/>
    <col min="139" max="139" width="6.7109375" style="112" customWidth="1"/>
    <col min="140" max="141" width="2.85546875" style="112" customWidth="1"/>
    <col min="142" max="142" width="6.5703125" style="112" customWidth="1"/>
    <col min="143" max="144" width="2.85546875" style="112" customWidth="1"/>
    <col min="145" max="145" width="6.5703125" style="112" customWidth="1"/>
    <col min="146" max="146" width="2.85546875" style="112" customWidth="1"/>
    <col min="147" max="147" width="2.7109375" style="112" customWidth="1"/>
    <col min="148" max="148" width="2.42578125" style="112" customWidth="1"/>
    <col min="149" max="149" width="2.7109375" style="112" customWidth="1"/>
    <col min="150" max="150" width="5.7109375" style="112" customWidth="1"/>
    <col min="151" max="151" width="15.28515625" style="112" customWidth="1"/>
    <col min="152" max="152" width="9.5703125" style="112" customWidth="1"/>
    <col min="153" max="16384" width="9.140625" style="112"/>
  </cols>
  <sheetData>
    <row r="2" spans="1:152" x14ac:dyDescent="0.25">
      <c r="DI2" s="112" t="s">
        <v>529</v>
      </c>
    </row>
    <row r="3" spans="1:152" x14ac:dyDescent="0.25">
      <c r="A3" s="125" t="s">
        <v>470</v>
      </c>
      <c r="B3" s="125"/>
      <c r="C3" s="125"/>
      <c r="L3" s="125" t="s">
        <v>304</v>
      </c>
      <c r="M3" s="125"/>
      <c r="N3" s="125"/>
      <c r="AN3" s="194" t="s">
        <v>564</v>
      </c>
    </row>
    <row r="4" spans="1:152" x14ac:dyDescent="0.25">
      <c r="A4" s="112" t="s">
        <v>103</v>
      </c>
      <c r="B4" s="125"/>
      <c r="C4" s="125"/>
      <c r="G4" s="2" t="s">
        <v>4</v>
      </c>
      <c r="H4" s="2">
        <f>PLAT!D4</f>
        <v>0.85</v>
      </c>
      <c r="I4" s="112" t="s">
        <v>5</v>
      </c>
      <c r="L4" s="125" t="s">
        <v>329</v>
      </c>
      <c r="M4" s="125"/>
      <c r="N4" s="125"/>
      <c r="O4" s="125"/>
      <c r="AN4" s="194" t="s">
        <v>565</v>
      </c>
      <c r="CV4" s="125" t="s">
        <v>333</v>
      </c>
    </row>
    <row r="5" spans="1:152" x14ac:dyDescent="0.25">
      <c r="L5" s="125" t="s">
        <v>330</v>
      </c>
      <c r="Z5" s="125" t="s">
        <v>331</v>
      </c>
      <c r="AF5" s="125"/>
      <c r="AG5" s="125"/>
      <c r="BK5" s="125" t="s">
        <v>332</v>
      </c>
      <c r="CV5" s="332" t="s">
        <v>334</v>
      </c>
      <c r="CW5" s="333"/>
      <c r="CX5" s="333"/>
      <c r="CY5" s="333"/>
      <c r="DF5" s="112" t="s">
        <v>523</v>
      </c>
      <c r="DJ5" s="125"/>
      <c r="DK5" s="125"/>
      <c r="DW5" s="125" t="s">
        <v>511</v>
      </c>
    </row>
    <row r="6" spans="1:152" x14ac:dyDescent="0.25">
      <c r="A6" s="125" t="s">
        <v>471</v>
      </c>
      <c r="B6" s="125"/>
      <c r="AF6" s="125"/>
      <c r="AG6" s="125"/>
      <c r="AH6" s="125"/>
      <c r="BT6" s="125"/>
      <c r="BU6" s="125"/>
      <c r="BV6" s="125"/>
      <c r="BW6" s="125"/>
      <c r="DI6" s="125"/>
      <c r="DJ6" s="125"/>
      <c r="DK6" s="125"/>
      <c r="DL6" s="125"/>
      <c r="DW6" s="134"/>
      <c r="DX6" s="134"/>
      <c r="DY6" s="134"/>
      <c r="DZ6" s="134"/>
      <c r="EA6" s="134"/>
      <c r="EB6" s="134"/>
      <c r="EC6" s="134"/>
      <c r="ED6" s="134"/>
      <c r="EE6" s="134"/>
      <c r="EF6" s="134" t="s">
        <v>524</v>
      </c>
      <c r="EG6" s="134"/>
      <c r="EH6" s="134"/>
      <c r="EI6" s="134"/>
      <c r="EJ6" s="134"/>
      <c r="EK6" s="134"/>
      <c r="EL6" s="134"/>
      <c r="EM6" s="134"/>
      <c r="EN6" s="134"/>
      <c r="EO6" s="134"/>
      <c r="EP6" s="134"/>
      <c r="EQ6" s="134"/>
      <c r="ER6" s="134"/>
      <c r="ES6" s="134"/>
      <c r="ET6" s="134"/>
    </row>
    <row r="7" spans="1:152" x14ac:dyDescent="0.25">
      <c r="A7" s="112" t="s">
        <v>247</v>
      </c>
      <c r="G7" s="2" t="s">
        <v>248</v>
      </c>
      <c r="H7" s="2">
        <v>25</v>
      </c>
      <c r="I7" s="112" t="s">
        <v>3</v>
      </c>
      <c r="BU7" s="112" t="s">
        <v>522</v>
      </c>
      <c r="DV7" s="275"/>
      <c r="DW7" s="447" t="s">
        <v>173</v>
      </c>
      <c r="DX7" s="448"/>
      <c r="DY7" s="449"/>
      <c r="DZ7" s="449" t="s">
        <v>176</v>
      </c>
      <c r="EA7" s="426" t="s">
        <v>178</v>
      </c>
      <c r="EB7" s="501" t="s">
        <v>306</v>
      </c>
      <c r="EC7" s="426" t="s">
        <v>307</v>
      </c>
      <c r="ED7" s="449" t="s">
        <v>84</v>
      </c>
      <c r="EE7" s="494"/>
      <c r="EF7" s="495"/>
      <c r="EG7" s="495"/>
      <c r="EH7" s="495"/>
      <c r="EI7" s="495"/>
      <c r="EJ7" s="496"/>
      <c r="EK7" s="494" t="s">
        <v>525</v>
      </c>
      <c r="EL7" s="495"/>
      <c r="EM7" s="495"/>
      <c r="EN7" s="495"/>
      <c r="EO7" s="495"/>
      <c r="EP7" s="496"/>
      <c r="EQ7" s="483" t="s">
        <v>319</v>
      </c>
      <c r="ER7" s="483"/>
      <c r="ES7" s="483"/>
      <c r="ET7" s="484"/>
      <c r="EU7" s="277"/>
      <c r="EV7" s="503" t="s">
        <v>504</v>
      </c>
    </row>
    <row r="8" spans="1:152" ht="15.75" customHeight="1" x14ac:dyDescent="0.25">
      <c r="A8" s="112" t="s">
        <v>249</v>
      </c>
      <c r="G8" s="2" t="s">
        <v>7</v>
      </c>
      <c r="H8" s="186">
        <v>400</v>
      </c>
      <c r="I8" s="112" t="s">
        <v>3</v>
      </c>
      <c r="L8" s="447" t="s">
        <v>173</v>
      </c>
      <c r="M8" s="448"/>
      <c r="N8" s="449"/>
      <c r="O8" s="11" t="s">
        <v>176</v>
      </c>
      <c r="P8" s="93" t="s">
        <v>178</v>
      </c>
      <c r="Q8" s="93" t="s">
        <v>256</v>
      </c>
      <c r="R8" s="11" t="s">
        <v>258</v>
      </c>
      <c r="S8" s="11" t="s">
        <v>260</v>
      </c>
      <c r="T8" s="426" t="s">
        <v>4</v>
      </c>
      <c r="U8" s="426" t="s">
        <v>85</v>
      </c>
      <c r="V8" s="426" t="s">
        <v>265</v>
      </c>
      <c r="W8" s="426" t="s">
        <v>86</v>
      </c>
      <c r="Z8" s="447" t="s">
        <v>173</v>
      </c>
      <c r="AA8" s="448"/>
      <c r="AB8" s="448"/>
      <c r="AC8" s="11" t="s">
        <v>176</v>
      </c>
      <c r="AD8" s="93" t="s">
        <v>178</v>
      </c>
      <c r="AE8" s="93" t="s">
        <v>256</v>
      </c>
      <c r="AF8" s="11" t="s">
        <v>116</v>
      </c>
      <c r="AG8" s="11" t="s">
        <v>187</v>
      </c>
      <c r="AH8" s="11" t="s">
        <v>111</v>
      </c>
      <c r="AI8" s="426" t="s">
        <v>119</v>
      </c>
      <c r="AJ8" s="112" t="s">
        <v>522</v>
      </c>
      <c r="AK8" s="11" t="s">
        <v>307</v>
      </c>
      <c r="AL8" s="11" t="s">
        <v>84</v>
      </c>
      <c r="AM8" s="94" t="s">
        <v>300</v>
      </c>
      <c r="AN8" s="426" t="s">
        <v>91</v>
      </c>
      <c r="AO8" s="426" t="s">
        <v>92</v>
      </c>
      <c r="AP8" s="426" t="s">
        <v>93</v>
      </c>
      <c r="AQ8" s="11" t="s">
        <v>91</v>
      </c>
      <c r="AR8" s="11" t="s">
        <v>126</v>
      </c>
      <c r="AS8" s="426" t="s">
        <v>277</v>
      </c>
      <c r="AT8" s="482" t="s">
        <v>435</v>
      </c>
      <c r="AU8" s="483"/>
      <c r="AV8" s="484"/>
      <c r="AW8" s="95" t="s">
        <v>139</v>
      </c>
      <c r="AX8" s="94" t="s">
        <v>300</v>
      </c>
      <c r="AY8" s="11" t="s">
        <v>130</v>
      </c>
      <c r="AZ8" s="96" t="s">
        <v>300</v>
      </c>
      <c r="BA8" s="11" t="s">
        <v>308</v>
      </c>
      <c r="BB8" s="426" t="s">
        <v>311</v>
      </c>
      <c r="BC8" s="482" t="s">
        <v>436</v>
      </c>
      <c r="BD8" s="483"/>
      <c r="BE8" s="484"/>
      <c r="BF8" s="95" t="s">
        <v>309</v>
      </c>
      <c r="BG8" s="94" t="s">
        <v>300</v>
      </c>
      <c r="BH8" s="11" t="s">
        <v>312</v>
      </c>
      <c r="BI8" s="96" t="s">
        <v>300</v>
      </c>
      <c r="BK8" s="447" t="s">
        <v>173</v>
      </c>
      <c r="BL8" s="448"/>
      <c r="BM8" s="448"/>
      <c r="BN8" s="11" t="s">
        <v>176</v>
      </c>
      <c r="BO8" s="93" t="s">
        <v>178</v>
      </c>
      <c r="BP8" s="93" t="s">
        <v>258</v>
      </c>
      <c r="BQ8" s="11" t="s">
        <v>116</v>
      </c>
      <c r="BR8" s="11" t="s">
        <v>187</v>
      </c>
      <c r="BS8" s="11" t="s">
        <v>111</v>
      </c>
      <c r="BT8" s="426" t="s">
        <v>119</v>
      </c>
      <c r="BU8" s="11" t="s">
        <v>306</v>
      </c>
      <c r="BV8" s="11" t="s">
        <v>307</v>
      </c>
      <c r="BW8" s="11" t="s">
        <v>84</v>
      </c>
      <c r="BX8" s="94" t="s">
        <v>300</v>
      </c>
      <c r="BY8" s="426" t="s">
        <v>91</v>
      </c>
      <c r="BZ8" s="426" t="s">
        <v>92</v>
      </c>
      <c r="CA8" s="426" t="s">
        <v>93</v>
      </c>
      <c r="CB8" s="11" t="s">
        <v>91</v>
      </c>
      <c r="CC8" s="11" t="s">
        <v>126</v>
      </c>
      <c r="CD8" s="426" t="s">
        <v>277</v>
      </c>
      <c r="CE8" s="482" t="s">
        <v>435</v>
      </c>
      <c r="CF8" s="483"/>
      <c r="CG8" s="484"/>
      <c r="CH8" s="95" t="s">
        <v>139</v>
      </c>
      <c r="CI8" s="94" t="s">
        <v>300</v>
      </c>
      <c r="CJ8" s="11" t="s">
        <v>130</v>
      </c>
      <c r="CK8" s="96" t="s">
        <v>300</v>
      </c>
      <c r="CL8" s="11" t="s">
        <v>308</v>
      </c>
      <c r="CM8" s="426" t="s">
        <v>311</v>
      </c>
      <c r="CN8" s="482" t="s">
        <v>436</v>
      </c>
      <c r="CO8" s="483"/>
      <c r="CP8" s="484"/>
      <c r="CQ8" s="95" t="s">
        <v>309</v>
      </c>
      <c r="CR8" s="94" t="s">
        <v>300</v>
      </c>
      <c r="CS8" s="11" t="s">
        <v>312</v>
      </c>
      <c r="CT8" s="96" t="s">
        <v>300</v>
      </c>
      <c r="CV8" s="447" t="s">
        <v>173</v>
      </c>
      <c r="CW8" s="448"/>
      <c r="CX8" s="449"/>
      <c r="CY8" s="11" t="s">
        <v>176</v>
      </c>
      <c r="CZ8" s="93" t="s">
        <v>178</v>
      </c>
      <c r="DA8" s="93" t="s">
        <v>260</v>
      </c>
      <c r="DB8" s="426" t="s">
        <v>86</v>
      </c>
      <c r="DC8" s="11" t="s">
        <v>7</v>
      </c>
      <c r="DD8" s="11" t="s">
        <v>287</v>
      </c>
      <c r="DE8" s="127" t="s">
        <v>433</v>
      </c>
      <c r="DF8" s="456" t="s">
        <v>300</v>
      </c>
      <c r="DG8" s="11" t="s">
        <v>320</v>
      </c>
      <c r="DH8" s="11" t="s">
        <v>292</v>
      </c>
      <c r="DI8" s="426" t="s">
        <v>266</v>
      </c>
      <c r="DJ8" s="11" t="s">
        <v>307</v>
      </c>
      <c r="DK8" s="11" t="s">
        <v>294</v>
      </c>
      <c r="DL8" s="95" t="s">
        <v>321</v>
      </c>
      <c r="DM8" s="96" t="s">
        <v>322</v>
      </c>
      <c r="DN8" s="11" t="s">
        <v>324</v>
      </c>
      <c r="DO8" s="11" t="s">
        <v>133</v>
      </c>
      <c r="DP8" s="11" t="s">
        <v>318</v>
      </c>
      <c r="DQ8" s="482" t="s">
        <v>319</v>
      </c>
      <c r="DR8" s="483"/>
      <c r="DS8" s="483"/>
      <c r="DT8" s="484"/>
      <c r="DU8" s="112" t="s">
        <v>528</v>
      </c>
      <c r="DV8" s="275"/>
      <c r="DW8" s="477"/>
      <c r="DX8" s="493"/>
      <c r="DY8" s="478"/>
      <c r="DZ8" s="478"/>
      <c r="EA8" s="465"/>
      <c r="EB8" s="502"/>
      <c r="EC8" s="465"/>
      <c r="ED8" s="478"/>
      <c r="EE8" s="498" t="s">
        <v>526</v>
      </c>
      <c r="EF8" s="491"/>
      <c r="EG8" s="492"/>
      <c r="EH8" s="498" t="s">
        <v>527</v>
      </c>
      <c r="EI8" s="491"/>
      <c r="EJ8" s="492"/>
      <c r="EK8" s="498" t="s">
        <v>526</v>
      </c>
      <c r="EL8" s="491"/>
      <c r="EM8" s="492"/>
      <c r="EN8" s="498" t="s">
        <v>527</v>
      </c>
      <c r="EO8" s="491"/>
      <c r="EP8" s="492"/>
      <c r="EQ8" s="491"/>
      <c r="ER8" s="491"/>
      <c r="ES8" s="491"/>
      <c r="ET8" s="492"/>
      <c r="EU8" s="279"/>
      <c r="EV8" s="503"/>
    </row>
    <row r="9" spans="1:152" x14ac:dyDescent="0.25">
      <c r="A9" s="112" t="s">
        <v>299</v>
      </c>
      <c r="G9" s="2" t="s">
        <v>7</v>
      </c>
      <c r="H9" s="2">
        <f>PLAT!D3</f>
        <v>240</v>
      </c>
      <c r="I9" s="112" t="s">
        <v>3</v>
      </c>
      <c r="L9" s="450" t="s">
        <v>17</v>
      </c>
      <c r="M9" s="451"/>
      <c r="N9" s="452"/>
      <c r="O9" s="14" t="s">
        <v>100</v>
      </c>
      <c r="P9" s="97" t="s">
        <v>100</v>
      </c>
      <c r="Q9" s="97" t="s">
        <v>305</v>
      </c>
      <c r="R9" s="97" t="s">
        <v>305</v>
      </c>
      <c r="S9" s="14" t="s">
        <v>305</v>
      </c>
      <c r="T9" s="427"/>
      <c r="U9" s="427"/>
      <c r="V9" s="427"/>
      <c r="W9" s="450"/>
      <c r="X9" s="128"/>
      <c r="Z9" s="450" t="s">
        <v>17</v>
      </c>
      <c r="AA9" s="451"/>
      <c r="AB9" s="451"/>
      <c r="AC9" s="14" t="s">
        <v>100</v>
      </c>
      <c r="AD9" s="97" t="s">
        <v>100</v>
      </c>
      <c r="AE9" s="97" t="s">
        <v>305</v>
      </c>
      <c r="AF9" s="97" t="s">
        <v>305</v>
      </c>
      <c r="AG9" s="97" t="s">
        <v>100</v>
      </c>
      <c r="AH9" s="97" t="s">
        <v>100</v>
      </c>
      <c r="AI9" s="427"/>
      <c r="AJ9" s="14" t="s">
        <v>100</v>
      </c>
      <c r="AK9" s="14" t="s">
        <v>100</v>
      </c>
      <c r="AL9" s="14" t="s">
        <v>100</v>
      </c>
      <c r="AM9" s="98" t="s">
        <v>315</v>
      </c>
      <c r="AN9" s="427"/>
      <c r="AO9" s="427"/>
      <c r="AP9" s="427"/>
      <c r="AQ9" s="97" t="s">
        <v>310</v>
      </c>
      <c r="AR9" s="14" t="s">
        <v>434</v>
      </c>
      <c r="AS9" s="427"/>
      <c r="AT9" s="485"/>
      <c r="AU9" s="486"/>
      <c r="AV9" s="487"/>
      <c r="AW9" s="14" t="s">
        <v>434</v>
      </c>
      <c r="AX9" s="98" t="s">
        <v>313</v>
      </c>
      <c r="AY9" s="14" t="s">
        <v>100</v>
      </c>
      <c r="AZ9" s="98" t="s">
        <v>431</v>
      </c>
      <c r="BA9" s="14" t="s">
        <v>434</v>
      </c>
      <c r="BB9" s="427"/>
      <c r="BC9" s="485"/>
      <c r="BD9" s="486"/>
      <c r="BE9" s="487"/>
      <c r="BF9" s="14" t="s">
        <v>434</v>
      </c>
      <c r="BG9" s="98" t="s">
        <v>314</v>
      </c>
      <c r="BH9" s="14" t="s">
        <v>100</v>
      </c>
      <c r="BI9" s="98" t="s">
        <v>432</v>
      </c>
      <c r="BK9" s="450" t="s">
        <v>17</v>
      </c>
      <c r="BL9" s="451"/>
      <c r="BM9" s="451"/>
      <c r="BN9" s="14" t="s">
        <v>100</v>
      </c>
      <c r="BO9" s="97" t="s">
        <v>100</v>
      </c>
      <c r="BP9" s="97" t="s">
        <v>305</v>
      </c>
      <c r="BQ9" s="97" t="s">
        <v>305</v>
      </c>
      <c r="BR9" s="97" t="s">
        <v>100</v>
      </c>
      <c r="BS9" s="97" t="s">
        <v>100</v>
      </c>
      <c r="BT9" s="427"/>
      <c r="BU9" s="14" t="s">
        <v>100</v>
      </c>
      <c r="BV9" s="14" t="s">
        <v>100</v>
      </c>
      <c r="BW9" s="14" t="s">
        <v>100</v>
      </c>
      <c r="BX9" s="98" t="s">
        <v>315</v>
      </c>
      <c r="BY9" s="427"/>
      <c r="BZ9" s="427"/>
      <c r="CA9" s="427"/>
      <c r="CB9" s="97" t="s">
        <v>310</v>
      </c>
      <c r="CC9" s="14" t="s">
        <v>434</v>
      </c>
      <c r="CD9" s="427"/>
      <c r="CE9" s="485"/>
      <c r="CF9" s="486"/>
      <c r="CG9" s="487"/>
      <c r="CH9" s="14" t="s">
        <v>434</v>
      </c>
      <c r="CI9" s="98" t="s">
        <v>313</v>
      </c>
      <c r="CJ9" s="14" t="s">
        <v>100</v>
      </c>
      <c r="CK9" s="98" t="s">
        <v>431</v>
      </c>
      <c r="CL9" s="14" t="s">
        <v>434</v>
      </c>
      <c r="CM9" s="427"/>
      <c r="CN9" s="485"/>
      <c r="CO9" s="486"/>
      <c r="CP9" s="487"/>
      <c r="CQ9" s="14" t="s">
        <v>434</v>
      </c>
      <c r="CR9" s="98" t="s">
        <v>314</v>
      </c>
      <c r="CS9" s="14" t="s">
        <v>100</v>
      </c>
      <c r="CT9" s="98" t="s">
        <v>432</v>
      </c>
      <c r="CV9" s="477" t="s">
        <v>100</v>
      </c>
      <c r="CW9" s="451"/>
      <c r="CX9" s="451"/>
      <c r="CY9" s="14" t="s">
        <v>100</v>
      </c>
      <c r="CZ9" s="97" t="s">
        <v>100</v>
      </c>
      <c r="DA9" s="97" t="s">
        <v>305</v>
      </c>
      <c r="DB9" s="427"/>
      <c r="DC9" s="97" t="s">
        <v>316</v>
      </c>
      <c r="DD9" s="14" t="s">
        <v>317</v>
      </c>
      <c r="DE9" s="14" t="s">
        <v>317</v>
      </c>
      <c r="DF9" s="457"/>
      <c r="DG9" s="14" t="s">
        <v>317</v>
      </c>
      <c r="DH9" s="14" t="s">
        <v>317</v>
      </c>
      <c r="DI9" s="427"/>
      <c r="DJ9" s="14" t="s">
        <v>100</v>
      </c>
      <c r="DK9" s="14" t="s">
        <v>434</v>
      </c>
      <c r="DL9" s="14" t="s">
        <v>100</v>
      </c>
      <c r="DM9" s="98" t="s">
        <v>133</v>
      </c>
      <c r="DN9" s="14" t="s">
        <v>100</v>
      </c>
      <c r="DO9" s="14" t="s">
        <v>100</v>
      </c>
      <c r="DP9" s="14" t="s">
        <v>100</v>
      </c>
      <c r="DQ9" s="485"/>
      <c r="DR9" s="486"/>
      <c r="DS9" s="486"/>
      <c r="DT9" s="487"/>
      <c r="DW9" s="450" t="s">
        <v>17</v>
      </c>
      <c r="DX9" s="451"/>
      <c r="DY9" s="452"/>
      <c r="DZ9" s="14" t="s">
        <v>100</v>
      </c>
      <c r="EA9" s="97" t="s">
        <v>100</v>
      </c>
      <c r="EB9" s="14" t="s">
        <v>100</v>
      </c>
      <c r="EC9" s="14" t="s">
        <v>100</v>
      </c>
      <c r="ED9" s="14" t="s">
        <v>100</v>
      </c>
      <c r="EE9" s="485"/>
      <c r="EF9" s="486"/>
      <c r="EG9" s="487"/>
      <c r="EH9" s="485"/>
      <c r="EI9" s="486"/>
      <c r="EJ9" s="487"/>
      <c r="EK9" s="485"/>
      <c r="EL9" s="486"/>
      <c r="EM9" s="487"/>
      <c r="EN9" s="485"/>
      <c r="EO9" s="486"/>
      <c r="EP9" s="487"/>
      <c r="EQ9" s="486"/>
      <c r="ER9" s="486"/>
      <c r="ES9" s="486"/>
      <c r="ET9" s="487"/>
      <c r="EU9" s="278"/>
      <c r="EV9" s="503"/>
    </row>
    <row r="10" spans="1:152" x14ac:dyDescent="0.25">
      <c r="A10" s="125" t="s">
        <v>472</v>
      </c>
      <c r="B10" s="125"/>
      <c r="L10" s="453" t="s">
        <v>20</v>
      </c>
      <c r="M10" s="80" t="s">
        <v>202</v>
      </c>
      <c r="N10" s="99"/>
      <c r="O10" s="129"/>
      <c r="P10" s="122"/>
      <c r="Q10" s="109"/>
      <c r="R10" s="122"/>
      <c r="S10" s="109"/>
      <c r="T10" s="122"/>
      <c r="U10" s="109"/>
      <c r="V10" s="122"/>
      <c r="W10" s="109"/>
      <c r="X10" s="128"/>
      <c r="Z10" s="488" t="s">
        <v>20</v>
      </c>
      <c r="AA10" s="18" t="s">
        <v>202</v>
      </c>
      <c r="AB10" s="19"/>
      <c r="AC10" s="100"/>
      <c r="AD10" s="101"/>
      <c r="AE10" s="102"/>
      <c r="AF10" s="101"/>
      <c r="AG10" s="102"/>
      <c r="AH10" s="101"/>
      <c r="AI10" s="102"/>
      <c r="AJ10" s="101"/>
      <c r="AK10" s="102"/>
      <c r="AL10" s="101"/>
      <c r="AM10" s="103"/>
      <c r="AN10" s="101"/>
      <c r="AO10" s="102"/>
      <c r="AP10" s="101"/>
      <c r="AQ10" s="102"/>
      <c r="AR10" s="101"/>
      <c r="AS10" s="101"/>
      <c r="AT10" s="147"/>
      <c r="AU10" s="21"/>
      <c r="AV10" s="152"/>
      <c r="AW10" s="102"/>
      <c r="AX10" s="104"/>
      <c r="AY10" s="102"/>
      <c r="AZ10" s="104"/>
      <c r="BA10" s="102"/>
      <c r="BB10" s="101"/>
      <c r="BC10" s="102"/>
      <c r="BD10" s="102"/>
      <c r="BE10" s="102"/>
      <c r="BF10" s="101"/>
      <c r="BG10" s="103"/>
      <c r="BH10" s="101"/>
      <c r="BI10" s="105"/>
      <c r="BK10" s="488" t="s">
        <v>20</v>
      </c>
      <c r="BL10" s="18" t="s">
        <v>202</v>
      </c>
      <c r="BM10" s="19"/>
      <c r="BN10" s="122"/>
      <c r="BO10" s="109"/>
      <c r="BP10" s="122"/>
      <c r="BQ10" s="109"/>
      <c r="BR10" s="122"/>
      <c r="BS10" s="109"/>
      <c r="BT10" s="122"/>
      <c r="BU10" s="109"/>
      <c r="BV10" s="122"/>
      <c r="BW10" s="109"/>
      <c r="BX10" s="123"/>
      <c r="BY10" s="109"/>
      <c r="BZ10" s="122"/>
      <c r="CA10" s="109"/>
      <c r="CB10" s="122"/>
      <c r="CC10" s="109"/>
      <c r="CD10" s="122"/>
      <c r="CE10" s="109"/>
      <c r="CF10" s="109"/>
      <c r="CG10" s="109"/>
      <c r="CH10" s="122"/>
      <c r="CI10" s="124"/>
      <c r="CJ10" s="122"/>
      <c r="CK10" s="124"/>
      <c r="CL10" s="122"/>
      <c r="CM10" s="109"/>
      <c r="CN10" s="129"/>
      <c r="CO10" s="109"/>
      <c r="CP10" s="167"/>
      <c r="CQ10" s="109"/>
      <c r="CR10" s="123"/>
      <c r="CS10" s="109"/>
      <c r="CT10" s="123"/>
      <c r="CV10" s="488" t="s">
        <v>20</v>
      </c>
      <c r="CW10" s="18" t="s">
        <v>202</v>
      </c>
      <c r="CX10" s="19"/>
      <c r="CY10" s="20"/>
      <c r="CZ10" s="21"/>
      <c r="DA10" s="20"/>
      <c r="DB10" s="21"/>
      <c r="DC10" s="20"/>
      <c r="DD10" s="21"/>
      <c r="DE10" s="20"/>
      <c r="DF10" s="22"/>
      <c r="DG10" s="20"/>
      <c r="DH10" s="21"/>
      <c r="DI10" s="20"/>
      <c r="DJ10" s="21"/>
      <c r="DK10" s="20"/>
      <c r="DL10" s="21"/>
      <c r="DM10" s="18"/>
      <c r="DN10" s="21"/>
      <c r="DO10" s="20"/>
      <c r="DP10" s="21"/>
      <c r="DQ10" s="100"/>
      <c r="DR10" s="141"/>
      <c r="DS10" s="102"/>
      <c r="DT10" s="133"/>
      <c r="DW10" s="453" t="s">
        <v>20</v>
      </c>
      <c r="DX10" s="80" t="s">
        <v>202</v>
      </c>
      <c r="DY10" s="99"/>
      <c r="DZ10" s="129"/>
      <c r="EA10" s="122"/>
      <c r="EB10" s="109"/>
      <c r="EC10" s="122"/>
      <c r="ED10" s="122"/>
      <c r="EE10" s="147"/>
      <c r="EF10" s="21"/>
      <c r="EG10" s="152"/>
      <c r="EH10" s="102"/>
      <c r="EI10" s="102"/>
      <c r="EJ10" s="130"/>
      <c r="EK10" s="147"/>
      <c r="EL10" s="21"/>
      <c r="EM10" s="152"/>
      <c r="EN10" s="102"/>
      <c r="EO10" s="102"/>
      <c r="EP10" s="102"/>
      <c r="EQ10" s="100"/>
      <c r="ER10" s="141"/>
      <c r="ES10" s="102"/>
      <c r="ET10" s="133"/>
      <c r="EU10" s="133"/>
      <c r="EV10" s="499" t="s">
        <v>505</v>
      </c>
    </row>
    <row r="11" spans="1:152" x14ac:dyDescent="0.25">
      <c r="A11" s="112" t="s">
        <v>250</v>
      </c>
      <c r="G11" s="2" t="s">
        <v>114</v>
      </c>
      <c r="H11" s="2" t="s">
        <v>123</v>
      </c>
      <c r="I11" s="112" t="s">
        <v>109</v>
      </c>
      <c r="L11" s="454"/>
      <c r="M11" s="44" t="s">
        <v>194</v>
      </c>
      <c r="N11" s="106">
        <v>1.5</v>
      </c>
      <c r="O11" s="25">
        <f>'QE &amp; MOMEN'!S22*1000</f>
        <v>300</v>
      </c>
      <c r="P11" s="26">
        <f>'QE &amp; MOMEN'!V22*1000</f>
        <v>200</v>
      </c>
      <c r="Q11" s="27">
        <f>'QE &amp; MOMEN'!AA22</f>
        <v>2.9250000000000003</v>
      </c>
      <c r="R11" s="24">
        <f>'QE &amp; MOMEN'!AA22</f>
        <v>2.9250000000000003</v>
      </c>
      <c r="S11" s="27">
        <f>'QE &amp; MOMEN'!AB22</f>
        <v>11.700000000000001</v>
      </c>
      <c r="T11" s="26">
        <f>$H$4</f>
        <v>0.85</v>
      </c>
      <c r="U11" s="27">
        <f>T11*0.85*$H$7/$H$8*600/(600+$H$8)</f>
        <v>2.7093749999999993E-2</v>
      </c>
      <c r="V11" s="24">
        <f>0.75*U11*$H$8*(1-(0.5*0.75*U11*$H$8/(0.85*$H$7)))</f>
        <v>6.5736210937499981</v>
      </c>
      <c r="W11" s="28">
        <f>$H$27</f>
        <v>0.8</v>
      </c>
      <c r="X11" s="128"/>
      <c r="Z11" s="489"/>
      <c r="AA11" s="52" t="s">
        <v>194</v>
      </c>
      <c r="AB11" s="29">
        <v>1.5</v>
      </c>
      <c r="AC11" s="30">
        <f>O11</f>
        <v>300</v>
      </c>
      <c r="AD11" s="31">
        <f>P11</f>
        <v>200</v>
      </c>
      <c r="AE11" s="32">
        <f>Q11</f>
        <v>2.9250000000000003</v>
      </c>
      <c r="AF11" s="33">
        <f>AE11/W11</f>
        <v>3.65625</v>
      </c>
      <c r="AG11" s="34">
        <v>50</v>
      </c>
      <c r="AH11" s="31">
        <f>AC11-AG11</f>
        <v>250</v>
      </c>
      <c r="AI11" s="35">
        <f>AF11*10^6/(AD11*AH11^2)</f>
        <v>0.29249999999999998</v>
      </c>
      <c r="AJ11" s="31">
        <f>$H$13</f>
        <v>13</v>
      </c>
      <c r="AK11" s="34">
        <f>$H$14</f>
        <v>8</v>
      </c>
      <c r="AL11" s="31">
        <f>$H$15</f>
        <v>25</v>
      </c>
      <c r="AM11" s="36" t="str">
        <f>IF(AI11&lt;=V11,"OK","NG")</f>
        <v>OK</v>
      </c>
      <c r="AN11" s="37">
        <f>0.85*($H$7/$H$8)*(1-(SQRT(1-2*AI11/(0.85*$H$7))))</f>
        <v>7.3635320987952872E-4</v>
      </c>
      <c r="AO11" s="38">
        <f>1.4/$H$8</f>
        <v>3.4999999999999996E-3</v>
      </c>
      <c r="AP11" s="37">
        <f>0.5*U11</f>
        <v>1.3546874999999996E-2</v>
      </c>
      <c r="AQ11" s="38">
        <f>MAX(AN11:AO11)</f>
        <v>3.4999999999999996E-3</v>
      </c>
      <c r="AR11" s="33">
        <f>AQ11*AD11*AH11</f>
        <v>175</v>
      </c>
      <c r="AS11" s="35">
        <f>AR11/((22/7)/4*AJ11^2)</f>
        <v>1.3179128563743949</v>
      </c>
      <c r="AT11" s="148">
        <f>ROUNDUP(AS11,0)</f>
        <v>2</v>
      </c>
      <c r="AU11" s="49">
        <f>MAX(AT11,AV11)</f>
        <v>2</v>
      </c>
      <c r="AV11" s="153">
        <v>2</v>
      </c>
      <c r="AW11" s="39">
        <f>AU11*(22/7)/4*AJ11^2</f>
        <v>265.57142857142856</v>
      </c>
      <c r="AX11" s="40" t="str">
        <f>IF(AR11&lt;=AW11,"OK","NG")</f>
        <v>OK</v>
      </c>
      <c r="AY11" s="34">
        <f>(AD11-(2*AL11+2*AK11+AU11*AJ11))/(AU11-1)</f>
        <v>108</v>
      </c>
      <c r="AZ11" s="40" t="str">
        <f>IF(AY11&gt;= 25,"OK","NG")</f>
        <v>OK</v>
      </c>
      <c r="BA11" s="34">
        <f>AR11/2</f>
        <v>87.5</v>
      </c>
      <c r="BB11" s="33">
        <f>BA11/((22/7)/4*AJ11^2)</f>
        <v>0.65895642818719746</v>
      </c>
      <c r="BC11" s="160">
        <f>ROUNDUP(BB11,0)</f>
        <v>1</v>
      </c>
      <c r="BD11" s="34">
        <f>MAX(BC11,BE11)</f>
        <v>2</v>
      </c>
      <c r="BE11" s="160">
        <v>2</v>
      </c>
      <c r="BF11" s="33">
        <f>BD11*(22/7)/4*AJ11^2</f>
        <v>265.57142857142856</v>
      </c>
      <c r="BG11" s="36" t="str">
        <f>IF(BA11&lt;=BF11,"OK","NG")</f>
        <v>OK</v>
      </c>
      <c r="BH11" s="31">
        <f>(AD11-(2*AL11+2*AK11+BD11*AJ11))/(BD11-1)</f>
        <v>108</v>
      </c>
      <c r="BI11" s="41" t="str">
        <f>IF(BH11&gt;= 25,"OK","NG")</f>
        <v>OK</v>
      </c>
      <c r="BJ11" s="3"/>
      <c r="BK11" s="489"/>
      <c r="BL11" s="52" t="s">
        <v>194</v>
      </c>
      <c r="BM11" s="29">
        <v>1.5</v>
      </c>
      <c r="BN11" s="26">
        <f>O11</f>
        <v>300</v>
      </c>
      <c r="BO11" s="42">
        <f>P11</f>
        <v>200</v>
      </c>
      <c r="BP11" s="24">
        <f>R11</f>
        <v>2.9250000000000003</v>
      </c>
      <c r="BQ11" s="28">
        <f>BP11/W11</f>
        <v>3.65625</v>
      </c>
      <c r="BR11" s="26">
        <v>50</v>
      </c>
      <c r="BS11" s="42">
        <f>BN11-BR11</f>
        <v>250</v>
      </c>
      <c r="BT11" s="43">
        <f>BQ11*10^6/(BO11*BS11^2)</f>
        <v>0.29249999999999998</v>
      </c>
      <c r="BU11" s="42">
        <f>$H$13</f>
        <v>13</v>
      </c>
      <c r="BV11" s="26">
        <f>$H$14</f>
        <v>8</v>
      </c>
      <c r="BW11" s="42">
        <f>$H$15</f>
        <v>25</v>
      </c>
      <c r="BX11" s="44" t="str">
        <f>IF(BT11&lt;=V11,"OK","NG")</f>
        <v>OK</v>
      </c>
      <c r="BY11" s="45">
        <f>0.85*($H$7/$H$8)*(1-(SQRT(1-2*BT11/(0.85*$H$7))))</f>
        <v>7.3635320987952872E-4</v>
      </c>
      <c r="BZ11" s="46">
        <f>1.4/$H$8</f>
        <v>3.4999999999999996E-3</v>
      </c>
      <c r="CA11" s="45">
        <f>0.5*U11</f>
        <v>1.3546874999999996E-2</v>
      </c>
      <c r="CB11" s="46">
        <f>MAX(BY11:BZ11)</f>
        <v>3.4999999999999996E-3</v>
      </c>
      <c r="CC11" s="28">
        <f>CB11*BO11*BS11</f>
        <v>175</v>
      </c>
      <c r="CD11" s="43">
        <f>CC11/((22/7)/4*BU11^2)</f>
        <v>1.3179128563743949</v>
      </c>
      <c r="CE11" s="163">
        <f>ROUNDUP(CD11,0)</f>
        <v>2</v>
      </c>
      <c r="CF11" s="34">
        <f>MAX(CE11,CG11)</f>
        <v>2</v>
      </c>
      <c r="CG11" s="160">
        <v>2</v>
      </c>
      <c r="CH11" s="43">
        <f>CF11*(22/7)/4*BU11^2</f>
        <v>265.57142857142856</v>
      </c>
      <c r="CI11" s="47" t="str">
        <f>IF(CC11&lt;=CH11,"OK","NG")</f>
        <v>OK</v>
      </c>
      <c r="CJ11" s="26">
        <f>(BO11-(2*BW11+2*BV11+CF11*BU11))/(CF11-1)</f>
        <v>108</v>
      </c>
      <c r="CK11" s="47" t="str">
        <f>IF(CJ11&gt;= 25,"OK","NG")</f>
        <v>OK</v>
      </c>
      <c r="CL11" s="26">
        <f>CC11/2</f>
        <v>87.5</v>
      </c>
      <c r="CM11" s="28">
        <f>CL11/((22/7)/4*BU11^2)</f>
        <v>0.65895642818719746</v>
      </c>
      <c r="CN11" s="150">
        <f>ROUNDUP(CM11,0)</f>
        <v>1</v>
      </c>
      <c r="CO11" s="34">
        <f>MAX(CN11,CP11)</f>
        <v>2</v>
      </c>
      <c r="CP11" s="153">
        <v>2</v>
      </c>
      <c r="CQ11" s="28">
        <f>CO11*(22/7)/4*BU11^2</f>
        <v>265.57142857142856</v>
      </c>
      <c r="CR11" s="44" t="str">
        <f>IF(CL11&lt;=CQ11,"OK","NG")</f>
        <v>OK</v>
      </c>
      <c r="CS11" s="42">
        <f>(BO11-(2*BW11+2*BV11+CO11*BU11))/(CO11-1)</f>
        <v>108</v>
      </c>
      <c r="CT11" s="44" t="str">
        <f>IF(CS11&gt;= 25,"OK","NG")</f>
        <v>OK</v>
      </c>
      <c r="CV11" s="489"/>
      <c r="CW11" s="52" t="s">
        <v>194</v>
      </c>
      <c r="CX11" s="29">
        <v>1.5</v>
      </c>
      <c r="CY11" s="48">
        <f>O11</f>
        <v>300</v>
      </c>
      <c r="CZ11" s="49">
        <f>P11</f>
        <v>200</v>
      </c>
      <c r="DA11" s="50">
        <f>S11</f>
        <v>11.700000000000001</v>
      </c>
      <c r="DB11" s="49">
        <v>0.6</v>
      </c>
      <c r="DC11" s="48">
        <f>$H$9</f>
        <v>240</v>
      </c>
      <c r="DD11" s="49">
        <f>1/6*SQRT($H$7)*CZ11*BS11*0.001</f>
        <v>41.666666666666664</v>
      </c>
      <c r="DE11" s="48">
        <f>DB11*DD11</f>
        <v>24.999999999999996</v>
      </c>
      <c r="DF11" s="51" t="str">
        <f>IF(DA11&lt;=DE11,"Tul. Gerser Praktis","Perlu Tul Geser")</f>
        <v>Tul. Gerser Praktis</v>
      </c>
      <c r="DG11" s="48"/>
      <c r="DH11" s="49"/>
      <c r="DI11" s="48"/>
      <c r="DJ11" s="49"/>
      <c r="DK11" s="48"/>
      <c r="DL11" s="49"/>
      <c r="DM11" s="52"/>
      <c r="DN11" s="49"/>
      <c r="DO11" s="48"/>
      <c r="DP11" s="49">
        <v>200</v>
      </c>
      <c r="DQ11" s="53" t="s">
        <v>323</v>
      </c>
      <c r="DR11" s="143">
        <f>$H$14</f>
        <v>8</v>
      </c>
      <c r="DS11" s="54" t="s">
        <v>41</v>
      </c>
      <c r="DT11" s="55">
        <f>DP11</f>
        <v>200</v>
      </c>
      <c r="DW11" s="454"/>
      <c r="DX11" s="44" t="s">
        <v>194</v>
      </c>
      <c r="DY11" s="106">
        <v>1.5</v>
      </c>
      <c r="DZ11" s="25">
        <f>O11</f>
        <v>300</v>
      </c>
      <c r="EA11" s="26">
        <f>P11</f>
        <v>200</v>
      </c>
      <c r="EB11" s="42">
        <f>$H$13</f>
        <v>13</v>
      </c>
      <c r="EC11" s="26">
        <f>$H$14</f>
        <v>8</v>
      </c>
      <c r="ED11" s="42">
        <f>$H$15</f>
        <v>25</v>
      </c>
      <c r="EE11" s="148">
        <f>AT11</f>
        <v>2</v>
      </c>
      <c r="EF11" s="34">
        <f>MAX(EE11,EG11)</f>
        <v>2</v>
      </c>
      <c r="EG11" s="153">
        <v>2</v>
      </c>
      <c r="EH11" s="160">
        <f>BC11</f>
        <v>1</v>
      </c>
      <c r="EI11" s="34">
        <f>MAX(EH11,EJ11)</f>
        <v>2</v>
      </c>
      <c r="EJ11" s="160">
        <v>2</v>
      </c>
      <c r="EK11" s="148">
        <f>CE11</f>
        <v>2</v>
      </c>
      <c r="EL11" s="34">
        <f>MAX(EK11,EM11)</f>
        <v>2</v>
      </c>
      <c r="EM11" s="153">
        <v>2</v>
      </c>
      <c r="EN11" s="160">
        <f>CN11</f>
        <v>1</v>
      </c>
      <c r="EO11" s="34">
        <f>MAX(EN11,EP11)</f>
        <v>2</v>
      </c>
      <c r="EP11" s="160">
        <v>2</v>
      </c>
      <c r="EQ11" s="53" t="s">
        <v>323</v>
      </c>
      <c r="ER11" s="143">
        <f>$H$14</f>
        <v>8</v>
      </c>
      <c r="ES11" s="54" t="s">
        <v>41</v>
      </c>
      <c r="ET11" s="55">
        <f>DT11</f>
        <v>200</v>
      </c>
      <c r="EU11" s="55"/>
      <c r="EV11" s="499"/>
    </row>
    <row r="12" spans="1:152" x14ac:dyDescent="0.25">
      <c r="A12" s="112" t="s">
        <v>251</v>
      </c>
      <c r="G12" s="2" t="s">
        <v>174</v>
      </c>
      <c r="H12" s="2" t="s">
        <v>123</v>
      </c>
      <c r="I12" s="112" t="s">
        <v>109</v>
      </c>
      <c r="L12" s="454"/>
      <c r="M12" s="341" t="s">
        <v>197</v>
      </c>
      <c r="N12" s="342"/>
      <c r="O12" s="362"/>
      <c r="P12" s="363"/>
      <c r="Q12" s="364"/>
      <c r="R12" s="365"/>
      <c r="S12" s="364"/>
      <c r="T12" s="363"/>
      <c r="U12" s="364"/>
      <c r="V12" s="365"/>
      <c r="W12" s="366"/>
      <c r="X12" s="128"/>
      <c r="Z12" s="489"/>
      <c r="AA12" s="369" t="s">
        <v>197</v>
      </c>
      <c r="AB12" s="370"/>
      <c r="AC12" s="371"/>
      <c r="AD12" s="372"/>
      <c r="AE12" s="373"/>
      <c r="AF12" s="372"/>
      <c r="AG12" s="373"/>
      <c r="AH12" s="372"/>
      <c r="AI12" s="373"/>
      <c r="AJ12" s="372"/>
      <c r="AK12" s="373"/>
      <c r="AL12" s="372"/>
      <c r="AM12" s="374"/>
      <c r="AN12" s="372"/>
      <c r="AO12" s="373"/>
      <c r="AP12" s="372"/>
      <c r="AQ12" s="373"/>
      <c r="AR12" s="372"/>
      <c r="AS12" s="373"/>
      <c r="AT12" s="375"/>
      <c r="AU12" s="376"/>
      <c r="AV12" s="377"/>
      <c r="AW12" s="373"/>
      <c r="AX12" s="369"/>
      <c r="AY12" s="373"/>
      <c r="AZ12" s="369"/>
      <c r="BA12" s="373"/>
      <c r="BB12" s="372"/>
      <c r="BC12" s="378"/>
      <c r="BD12" s="373"/>
      <c r="BE12" s="378"/>
      <c r="BF12" s="372"/>
      <c r="BG12" s="374"/>
      <c r="BH12" s="372"/>
      <c r="BI12" s="379"/>
      <c r="BJ12" s="3"/>
      <c r="BK12" s="489"/>
      <c r="BL12" s="18" t="s">
        <v>197</v>
      </c>
      <c r="BM12" s="19"/>
      <c r="BN12" s="57"/>
      <c r="BO12" s="3"/>
      <c r="BP12" s="57"/>
      <c r="BQ12" s="3"/>
      <c r="BR12" s="57"/>
      <c r="BS12" s="3"/>
      <c r="BT12" s="57"/>
      <c r="BU12" s="3"/>
      <c r="BV12" s="57"/>
      <c r="BW12" s="3"/>
      <c r="BX12" s="63"/>
      <c r="BY12" s="3"/>
      <c r="BZ12" s="57"/>
      <c r="CA12" s="3"/>
      <c r="CB12" s="57"/>
      <c r="CC12" s="3"/>
      <c r="CD12" s="57"/>
      <c r="CE12" s="160"/>
      <c r="CF12" s="21"/>
      <c r="CG12" s="162"/>
      <c r="CH12" s="57"/>
      <c r="CI12" s="64"/>
      <c r="CJ12" s="57"/>
      <c r="CK12" s="64"/>
      <c r="CL12" s="57"/>
      <c r="CM12" s="3"/>
      <c r="CN12" s="148"/>
      <c r="CO12" s="21"/>
      <c r="CP12" s="154"/>
      <c r="CQ12" s="3"/>
      <c r="CR12" s="63"/>
      <c r="CS12" s="3"/>
      <c r="CT12" s="63"/>
      <c r="CV12" s="489"/>
      <c r="CW12" s="18" t="s">
        <v>197</v>
      </c>
      <c r="CX12" s="19"/>
      <c r="CY12" s="31"/>
      <c r="CZ12" s="34"/>
      <c r="DA12" s="31"/>
      <c r="DB12" s="34"/>
      <c r="DC12" s="31"/>
      <c r="DD12" s="34"/>
      <c r="DE12" s="31"/>
      <c r="DF12" s="36"/>
      <c r="DG12" s="31"/>
      <c r="DH12" s="34"/>
      <c r="DI12" s="31"/>
      <c r="DJ12" s="34"/>
      <c r="DK12" s="31"/>
      <c r="DL12" s="34"/>
      <c r="DM12" s="40"/>
      <c r="DN12" s="34"/>
      <c r="DO12" s="31"/>
      <c r="DP12" s="34"/>
      <c r="DQ12" s="75"/>
      <c r="DR12" s="115"/>
      <c r="DS12" s="131"/>
      <c r="DT12" s="77"/>
      <c r="DW12" s="454"/>
      <c r="DX12" s="80" t="s">
        <v>197</v>
      </c>
      <c r="DY12" s="99"/>
      <c r="DZ12" s="56"/>
      <c r="EA12" s="57"/>
      <c r="EB12" s="3"/>
      <c r="EC12" s="57"/>
      <c r="ED12" s="3"/>
      <c r="EE12" s="149">
        <f t="shared" ref="EE12:EE31" si="0">AT12</f>
        <v>0</v>
      </c>
      <c r="EF12" s="21"/>
      <c r="EG12" s="154"/>
      <c r="EH12" s="162">
        <f t="shared" ref="EH12:EH31" si="1">BC12</f>
        <v>0</v>
      </c>
      <c r="EI12" s="21"/>
      <c r="EJ12" s="162"/>
      <c r="EK12" s="149">
        <f t="shared" ref="EK12:EK31" si="2">CE12</f>
        <v>0</v>
      </c>
      <c r="EL12" s="21"/>
      <c r="EM12" s="154"/>
      <c r="EN12" s="162">
        <f t="shared" ref="EN12:EN31" si="3">CN12</f>
        <v>0</v>
      </c>
      <c r="EO12" s="21"/>
      <c r="EP12" s="154"/>
      <c r="EQ12" s="75"/>
      <c r="ER12" s="115"/>
      <c r="ES12" s="131"/>
      <c r="ET12" s="77"/>
      <c r="EU12" s="77"/>
      <c r="EV12" s="499" t="s">
        <v>505</v>
      </c>
    </row>
    <row r="13" spans="1:152" x14ac:dyDescent="0.25">
      <c r="A13" s="112" t="s">
        <v>252</v>
      </c>
      <c r="G13" s="2" t="s">
        <v>212</v>
      </c>
      <c r="H13" s="186">
        <v>13</v>
      </c>
      <c r="I13" s="112" t="s">
        <v>109</v>
      </c>
      <c r="L13" s="454"/>
      <c r="M13" s="346" t="s">
        <v>194</v>
      </c>
      <c r="N13" s="347">
        <v>3.5</v>
      </c>
      <c r="O13" s="362">
        <f>'QE &amp; MOMEN'!S24*1000</f>
        <v>250</v>
      </c>
      <c r="P13" s="348">
        <f>'QE &amp; MOMEN'!V24*1000</f>
        <v>200</v>
      </c>
      <c r="Q13" s="367">
        <f>'QE &amp; MOMEN'!AA24</f>
        <v>19.781125000000003</v>
      </c>
      <c r="R13" s="349">
        <f>'QE &amp; MOMEN'!AA24</f>
        <v>19.781125000000003</v>
      </c>
      <c r="S13" s="367">
        <f>'QE &amp; MOMEN'!AB24</f>
        <v>33.910500000000006</v>
      </c>
      <c r="T13" s="348">
        <f>$H$4</f>
        <v>0.85</v>
      </c>
      <c r="U13" s="367">
        <f>T13*0.85*$H$7/$H$8*600/(600+$H$8)</f>
        <v>2.7093749999999993E-2</v>
      </c>
      <c r="V13" s="349">
        <f>0.75*U13*$H$8*(1-(0.5*0.75*U13*$H$8/(0.85*$H$7)))</f>
        <v>6.5736210937499981</v>
      </c>
      <c r="W13" s="368">
        <f>$H$27</f>
        <v>0.8</v>
      </c>
      <c r="X13" s="128"/>
      <c r="Z13" s="489"/>
      <c r="AA13" s="380" t="s">
        <v>194</v>
      </c>
      <c r="AB13" s="381">
        <v>3.5</v>
      </c>
      <c r="AC13" s="382">
        <f>O13</f>
        <v>250</v>
      </c>
      <c r="AD13" s="383">
        <f>P13</f>
        <v>200</v>
      </c>
      <c r="AE13" s="384">
        <f>Q13</f>
        <v>19.781125000000003</v>
      </c>
      <c r="AF13" s="385">
        <f>AE13/W13</f>
        <v>24.726406250000004</v>
      </c>
      <c r="AG13" s="386">
        <v>50</v>
      </c>
      <c r="AH13" s="383">
        <f>AC13-AG13</f>
        <v>200</v>
      </c>
      <c r="AI13" s="387">
        <f>AF13*10^6/(AD13*AH13^2)</f>
        <v>3.0908007812500005</v>
      </c>
      <c r="AJ13" s="383">
        <f>$H$13</f>
        <v>13</v>
      </c>
      <c r="AK13" s="386">
        <f>$H$14</f>
        <v>8</v>
      </c>
      <c r="AL13" s="383">
        <f>$H$15</f>
        <v>25</v>
      </c>
      <c r="AM13" s="388" t="str">
        <f>IF(AI13&lt;=V13,"OK","NG")</f>
        <v>OK</v>
      </c>
      <c r="AN13" s="389">
        <f>0.85*($H$7/$H$8)*(1-(SQRT(1-2*AI13/(0.85*$H$7))))</f>
        <v>8.3894250346497872E-3</v>
      </c>
      <c r="AO13" s="390">
        <f>1.4/$H$8</f>
        <v>3.4999999999999996E-3</v>
      </c>
      <c r="AP13" s="389">
        <f>0.5*U13</f>
        <v>1.3546874999999996E-2</v>
      </c>
      <c r="AQ13" s="390">
        <f>MAX(AN13:AO13)</f>
        <v>8.3894250346497872E-3</v>
      </c>
      <c r="AR13" s="385">
        <f>AQ13*AD13*AH13</f>
        <v>335.57700138599148</v>
      </c>
      <c r="AS13" s="387">
        <f>AR13/((22/7)/4*AJ13^2)</f>
        <v>2.5272071110295218</v>
      </c>
      <c r="AT13" s="391">
        <f>ROUNDUP(AS13,0)</f>
        <v>3</v>
      </c>
      <c r="AU13" s="386">
        <f>MAX(AT13,AV13)</f>
        <v>3</v>
      </c>
      <c r="AV13" s="392">
        <v>2</v>
      </c>
      <c r="AW13" s="387">
        <f>AU13*(22/7)/4*AJ13^2</f>
        <v>398.35714285714289</v>
      </c>
      <c r="AX13" s="380" t="str">
        <f>IF(AR13&lt;=AW13,"OK","NG")</f>
        <v>OK</v>
      </c>
      <c r="AY13" s="376">
        <f>(AD13-(2*AL13+2*AK13+AU13*AJ13))/(AU13-1)</f>
        <v>47.5</v>
      </c>
      <c r="AZ13" s="380" t="str">
        <f>IF(AY13&gt;= 25,"OK","NG")</f>
        <v>OK</v>
      </c>
      <c r="BA13" s="386">
        <f>AR13/2</f>
        <v>167.78850069299574</v>
      </c>
      <c r="BB13" s="385">
        <f>BA13/((22/7)/4*AJ13^2)</f>
        <v>1.2636035555147609</v>
      </c>
      <c r="BC13" s="393">
        <f>ROUNDUP(BB13,0)</f>
        <v>2</v>
      </c>
      <c r="BD13" s="376">
        <f>MAX(BC13,BE13)</f>
        <v>2</v>
      </c>
      <c r="BE13" s="393">
        <v>2</v>
      </c>
      <c r="BF13" s="394">
        <f>BD13*(22/7)/4*AJ13^2</f>
        <v>265.57142857142856</v>
      </c>
      <c r="BG13" s="395" t="str">
        <f>IF(BA13&lt;=BF13,"OK","NG")</f>
        <v>OK</v>
      </c>
      <c r="BH13" s="396">
        <f>(AD13-(2*AL13+2*AK13+BD13*AJ13))/(BD13-1)</f>
        <v>108</v>
      </c>
      <c r="BI13" s="397" t="str">
        <f>IF(BH13&gt;= 25,"OK","NG")</f>
        <v>OK</v>
      </c>
      <c r="BJ13" s="3"/>
      <c r="BK13" s="489"/>
      <c r="BL13" s="52" t="s">
        <v>194</v>
      </c>
      <c r="BM13" s="29">
        <v>3.5</v>
      </c>
      <c r="BN13" s="57">
        <f>O13</f>
        <v>250</v>
      </c>
      <c r="BO13" s="3">
        <f>P13</f>
        <v>200</v>
      </c>
      <c r="BP13" s="365">
        <f>R13</f>
        <v>19.781125000000003</v>
      </c>
      <c r="BQ13" s="60">
        <f>BP13/W13</f>
        <v>24.726406250000004</v>
      </c>
      <c r="BR13" s="57">
        <v>50</v>
      </c>
      <c r="BS13" s="3">
        <f>BN13-BR13</f>
        <v>200</v>
      </c>
      <c r="BT13" s="71">
        <f>BQ13*10^6/(BO13*BS13^2)</f>
        <v>3.0908007812500005</v>
      </c>
      <c r="BU13" s="3">
        <f>$H$13</f>
        <v>13</v>
      </c>
      <c r="BV13" s="57">
        <f>$H$14</f>
        <v>8</v>
      </c>
      <c r="BW13" s="3">
        <f>$H$15</f>
        <v>25</v>
      </c>
      <c r="BX13" s="63" t="str">
        <f>IF(BT13&lt;=V13,"OK","NG")</f>
        <v>OK</v>
      </c>
      <c r="BY13" s="72">
        <f>0.85*($H$7/$H$8)*(1-(SQRT(1-2*BT13/(0.85*$H$7))))</f>
        <v>8.3894250346497872E-3</v>
      </c>
      <c r="BZ13" s="73">
        <f>1.4/$H$8</f>
        <v>3.4999999999999996E-3</v>
      </c>
      <c r="CA13" s="72">
        <f>0.5*U13</f>
        <v>1.3546874999999996E-2</v>
      </c>
      <c r="CB13" s="73">
        <f>MAX(BY13:BZ13)</f>
        <v>8.3894250346497872E-3</v>
      </c>
      <c r="CC13" s="60">
        <f>CB13*BO13*BS13</f>
        <v>335.57700138599148</v>
      </c>
      <c r="CD13" s="71">
        <f>CC13/((22/7)/4*BU13^2)</f>
        <v>2.5272071110295218</v>
      </c>
      <c r="CE13" s="160">
        <f>ROUNDUP(CD13,0)</f>
        <v>3</v>
      </c>
      <c r="CF13" s="34">
        <f>MAX(CE13,CG13)</f>
        <v>3</v>
      </c>
      <c r="CG13" s="163">
        <v>2</v>
      </c>
      <c r="CH13" s="43">
        <f>CF13*(22/7)/4*BU13^2</f>
        <v>398.35714285714289</v>
      </c>
      <c r="CI13" s="47" t="str">
        <f>IF(CC13&lt;=CH13,"OK","NG")</f>
        <v>OK</v>
      </c>
      <c r="CJ13" s="26">
        <f>(BO13-(2*BW13+2*BV13+CF13*BU13))/(CF13-1)</f>
        <v>47.5</v>
      </c>
      <c r="CK13" s="47" t="str">
        <f>IF(CJ13&gt;= 25,"OK","NG")</f>
        <v>OK</v>
      </c>
      <c r="CL13" s="26">
        <f>CC13/2</f>
        <v>167.78850069299574</v>
      </c>
      <c r="CM13" s="28">
        <f>CL13/((22/7)/4*BU13^2)</f>
        <v>1.2636035555147609</v>
      </c>
      <c r="CN13" s="150">
        <f>ROUNDUP(CM13,0)</f>
        <v>2</v>
      </c>
      <c r="CO13" s="34">
        <f>MAX(CN13,CP13)</f>
        <v>2</v>
      </c>
      <c r="CP13" s="153">
        <v>2</v>
      </c>
      <c r="CQ13" s="28">
        <f>CO13*(22/7)/4*BU13^2</f>
        <v>265.57142857142856</v>
      </c>
      <c r="CR13" s="44" t="str">
        <f>IF(CL13&lt;=CQ13,"OK","NG")</f>
        <v>OK</v>
      </c>
      <c r="CS13" s="42">
        <f>(BO13-(2*BW13+2*BV13+CO13*BU13))/(CO13-1)</f>
        <v>108</v>
      </c>
      <c r="CT13" s="63" t="str">
        <f>IF(CS13&gt;= 25,"OK","NG")</f>
        <v>OK</v>
      </c>
      <c r="CV13" s="489"/>
      <c r="CW13" s="52" t="s">
        <v>194</v>
      </c>
      <c r="CX13" s="29">
        <v>3.5</v>
      </c>
      <c r="CY13" s="31">
        <f>O13</f>
        <v>250</v>
      </c>
      <c r="CZ13" s="34">
        <f>P13</f>
        <v>200</v>
      </c>
      <c r="DA13" s="74">
        <f>S13</f>
        <v>33.910500000000006</v>
      </c>
      <c r="DB13" s="34">
        <v>0.6</v>
      </c>
      <c r="DC13" s="31">
        <f>$H$9</f>
        <v>240</v>
      </c>
      <c r="DD13" s="34">
        <f>1/6*SQRT($H$7)*CZ13*BS13*0.001</f>
        <v>33.333333333333329</v>
      </c>
      <c r="DE13" s="31">
        <f>DB13*DD13</f>
        <v>19.999999999999996</v>
      </c>
      <c r="DF13" s="36" t="str">
        <f>IF(DA13&lt;=DE13,"Tul. Gerser Praktis","Perlu Tul Geser")</f>
        <v>Perlu Tul Geser</v>
      </c>
      <c r="DG13" s="74">
        <f>DA13-DE13</f>
        <v>13.91050000000001</v>
      </c>
      <c r="DH13" s="34">
        <f>DG13/DB13</f>
        <v>23.184166666666684</v>
      </c>
      <c r="DI13" s="31">
        <v>1</v>
      </c>
      <c r="DJ13" s="34">
        <f>$AK$11</f>
        <v>8</v>
      </c>
      <c r="DK13" s="31">
        <f>DI13*((22/7)/4)*DJ13^2</f>
        <v>50.285714285714285</v>
      </c>
      <c r="DL13" s="34">
        <f>DK13*DC11*BS13/(DH13*10^3)</f>
        <v>104.11046126512852</v>
      </c>
      <c r="DM13" s="40" t="str">
        <f>IF(DH13&lt;(1/3*SQRT($H$7)*CZ13*BS13),"1/2 D - 600","1/4D - 300")</f>
        <v>1/2 D - 600</v>
      </c>
      <c r="DN13" s="34">
        <f>1/2*AH13</f>
        <v>100</v>
      </c>
      <c r="DO13" s="31">
        <v>600</v>
      </c>
      <c r="DP13" s="34">
        <f>MIN(DL13,DN13,DO13)</f>
        <v>100</v>
      </c>
      <c r="DQ13" s="75" t="s">
        <v>323</v>
      </c>
      <c r="DR13" s="115">
        <f>$H$14</f>
        <v>8</v>
      </c>
      <c r="DS13" s="76" t="s">
        <v>41</v>
      </c>
      <c r="DT13" s="77">
        <f>DP13</f>
        <v>100</v>
      </c>
      <c r="DW13" s="454"/>
      <c r="DX13" s="44" t="s">
        <v>194</v>
      </c>
      <c r="DY13" s="106">
        <v>3.5</v>
      </c>
      <c r="DZ13" s="25">
        <f>O13</f>
        <v>250</v>
      </c>
      <c r="EA13" s="26">
        <f>P13</f>
        <v>200</v>
      </c>
      <c r="EB13" s="3">
        <f>$H$13</f>
        <v>13</v>
      </c>
      <c r="EC13" s="57">
        <f>$H$14</f>
        <v>8</v>
      </c>
      <c r="ED13" s="3">
        <f>$H$15</f>
        <v>25</v>
      </c>
      <c r="EE13" s="150">
        <f t="shared" si="0"/>
        <v>3</v>
      </c>
      <c r="EF13" s="49">
        <f>MAX(EE13,EG13)</f>
        <v>3</v>
      </c>
      <c r="EG13" s="155">
        <v>2</v>
      </c>
      <c r="EH13" s="163">
        <f t="shared" si="1"/>
        <v>2</v>
      </c>
      <c r="EI13" s="49">
        <f>MAX(EH13,EJ13)</f>
        <v>2</v>
      </c>
      <c r="EJ13" s="163">
        <v>2</v>
      </c>
      <c r="EK13" s="150">
        <f t="shared" si="2"/>
        <v>3</v>
      </c>
      <c r="EL13" s="49">
        <f>MAX(EK13,EM13)</f>
        <v>3</v>
      </c>
      <c r="EM13" s="155">
        <v>2</v>
      </c>
      <c r="EN13" s="163">
        <f t="shared" si="3"/>
        <v>2</v>
      </c>
      <c r="EO13" s="49">
        <f>MAX(EN13,EP13)</f>
        <v>2</v>
      </c>
      <c r="EP13" s="155">
        <v>2</v>
      </c>
      <c r="EQ13" s="75" t="s">
        <v>323</v>
      </c>
      <c r="ER13" s="115">
        <f>$H$14</f>
        <v>8</v>
      </c>
      <c r="ES13" s="76" t="s">
        <v>41</v>
      </c>
      <c r="ET13" s="55">
        <f>DT13</f>
        <v>100</v>
      </c>
      <c r="EU13" s="55"/>
      <c r="EV13" s="499"/>
    </row>
    <row r="14" spans="1:152" x14ac:dyDescent="0.25">
      <c r="A14" s="112" t="s">
        <v>253</v>
      </c>
      <c r="G14" s="2" t="s">
        <v>245</v>
      </c>
      <c r="H14" s="186">
        <v>8</v>
      </c>
      <c r="I14" s="112" t="s">
        <v>109</v>
      </c>
      <c r="L14" s="454"/>
      <c r="M14" s="80" t="s">
        <v>205</v>
      </c>
      <c r="N14" s="99"/>
      <c r="O14" s="78"/>
      <c r="P14" s="57"/>
      <c r="Q14" s="58"/>
      <c r="R14" s="59"/>
      <c r="S14" s="58"/>
      <c r="T14" s="57"/>
      <c r="U14" s="58"/>
      <c r="V14" s="59"/>
      <c r="W14" s="60"/>
      <c r="X14" s="128"/>
      <c r="Z14" s="489"/>
      <c r="AA14" s="18" t="s">
        <v>205</v>
      </c>
      <c r="AB14" s="19"/>
      <c r="AC14" s="61"/>
      <c r="AD14" s="20"/>
      <c r="AE14" s="21"/>
      <c r="AF14" s="20"/>
      <c r="AG14" s="21"/>
      <c r="AH14" s="20"/>
      <c r="AI14" s="21"/>
      <c r="AJ14" s="20"/>
      <c r="AK14" s="21"/>
      <c r="AL14" s="20"/>
      <c r="AM14" s="22"/>
      <c r="AN14" s="20"/>
      <c r="AO14" s="21"/>
      <c r="AP14" s="20"/>
      <c r="AQ14" s="21"/>
      <c r="AR14" s="20"/>
      <c r="AS14" s="21"/>
      <c r="AT14" s="148"/>
      <c r="AU14" s="34"/>
      <c r="AV14" s="154"/>
      <c r="AW14" s="21"/>
      <c r="AX14" s="18"/>
      <c r="AY14" s="21"/>
      <c r="AZ14" s="18"/>
      <c r="BA14" s="21"/>
      <c r="BB14" s="20"/>
      <c r="BC14" s="162"/>
      <c r="BD14" s="21"/>
      <c r="BE14" s="162"/>
      <c r="BF14" s="20"/>
      <c r="BG14" s="22"/>
      <c r="BH14" s="20"/>
      <c r="BI14" s="62"/>
      <c r="BJ14" s="3"/>
      <c r="BK14" s="489"/>
      <c r="BL14" s="18" t="s">
        <v>205</v>
      </c>
      <c r="BM14" s="19"/>
      <c r="BN14" s="15"/>
      <c r="BO14" s="79"/>
      <c r="BP14" s="15"/>
      <c r="BQ14" s="79"/>
      <c r="BR14" s="15"/>
      <c r="BS14" s="79"/>
      <c r="BT14" s="15"/>
      <c r="BU14" s="79"/>
      <c r="BV14" s="15"/>
      <c r="BW14" s="79"/>
      <c r="BX14" s="80"/>
      <c r="BY14" s="79"/>
      <c r="BZ14" s="15"/>
      <c r="CA14" s="79"/>
      <c r="CB14" s="15"/>
      <c r="CC14" s="79"/>
      <c r="CD14" s="15"/>
      <c r="CE14" s="162"/>
      <c r="CF14" s="21"/>
      <c r="CG14" s="162"/>
      <c r="CH14" s="15"/>
      <c r="CI14" s="81"/>
      <c r="CJ14" s="15"/>
      <c r="CK14" s="81"/>
      <c r="CL14" s="15"/>
      <c r="CM14" s="79"/>
      <c r="CN14" s="149"/>
      <c r="CO14" s="21"/>
      <c r="CP14" s="154"/>
      <c r="CQ14" s="79"/>
      <c r="CR14" s="80"/>
      <c r="CS14" s="79"/>
      <c r="CT14" s="80"/>
      <c r="CV14" s="489"/>
      <c r="CW14" s="18" t="s">
        <v>205</v>
      </c>
      <c r="CX14" s="19"/>
      <c r="CY14" s="20"/>
      <c r="CZ14" s="21"/>
      <c r="DA14" s="20"/>
      <c r="DB14" s="21"/>
      <c r="DC14" s="20"/>
      <c r="DD14" s="21"/>
      <c r="DE14" s="20"/>
      <c r="DF14" s="22"/>
      <c r="DG14" s="20"/>
      <c r="DH14" s="21"/>
      <c r="DI14" s="20"/>
      <c r="DJ14" s="21"/>
      <c r="DK14" s="20"/>
      <c r="DL14" s="21"/>
      <c r="DM14" s="18"/>
      <c r="DN14" s="21"/>
      <c r="DO14" s="20"/>
      <c r="DP14" s="21"/>
      <c r="DQ14" s="132"/>
      <c r="DR14" s="141"/>
      <c r="DS14" s="102"/>
      <c r="DT14" s="133"/>
      <c r="DW14" s="454"/>
      <c r="DX14" s="80" t="s">
        <v>205</v>
      </c>
      <c r="DY14" s="99"/>
      <c r="DZ14" s="78"/>
      <c r="EA14" s="57"/>
      <c r="EB14" s="79"/>
      <c r="EC14" s="15"/>
      <c r="ED14" s="79"/>
      <c r="EE14" s="148">
        <f t="shared" si="0"/>
        <v>0</v>
      </c>
      <c r="EF14" s="34"/>
      <c r="EG14" s="153"/>
      <c r="EH14" s="160">
        <f t="shared" si="1"/>
        <v>0</v>
      </c>
      <c r="EI14" s="34"/>
      <c r="EJ14" s="160"/>
      <c r="EK14" s="148">
        <f t="shared" si="2"/>
        <v>0</v>
      </c>
      <c r="EL14" s="34"/>
      <c r="EM14" s="153"/>
      <c r="EN14" s="160">
        <f t="shared" si="3"/>
        <v>0</v>
      </c>
      <c r="EO14" s="34"/>
      <c r="EP14" s="160"/>
      <c r="EQ14" s="132"/>
      <c r="ER14" s="141"/>
      <c r="ES14" s="102"/>
      <c r="ET14" s="133"/>
      <c r="EU14" s="133"/>
      <c r="EV14" s="499" t="s">
        <v>505</v>
      </c>
    </row>
    <row r="15" spans="1:152" x14ac:dyDescent="0.25">
      <c r="A15" s="112" t="s">
        <v>254</v>
      </c>
      <c r="G15" s="2" t="s">
        <v>168</v>
      </c>
      <c r="H15" s="186">
        <v>25</v>
      </c>
      <c r="I15" s="112" t="s">
        <v>109</v>
      </c>
      <c r="L15" s="455"/>
      <c r="M15" s="44" t="s">
        <v>194</v>
      </c>
      <c r="N15" s="106">
        <v>4</v>
      </c>
      <c r="O15" s="25">
        <f>'QE &amp; MOMEN'!S26*1000</f>
        <v>300</v>
      </c>
      <c r="P15" s="26">
        <f>'QE &amp; MOMEN'!V26*1000</f>
        <v>200</v>
      </c>
      <c r="Q15" s="27">
        <f>'QE &amp; MOMEN'!AA26</f>
        <v>16.584</v>
      </c>
      <c r="R15" s="24">
        <f>'QE &amp; MOMEN'!AA26</f>
        <v>16.584</v>
      </c>
      <c r="S15" s="27">
        <f>'QE &amp; MOMEN'!AB26</f>
        <v>24.876000000000001</v>
      </c>
      <c r="T15" s="26">
        <f>$H$4</f>
        <v>0.85</v>
      </c>
      <c r="U15" s="27">
        <f>T15*0.85*$H$7/$H$8*600/(600+$H$8)</f>
        <v>2.7093749999999993E-2</v>
      </c>
      <c r="V15" s="24">
        <f>0.75*U15*$H$8*(1-(0.5*0.75*U15*$H$8/(0.85*$H$7)))</f>
        <v>6.5736210937499981</v>
      </c>
      <c r="W15" s="28">
        <f>$H$27</f>
        <v>0.8</v>
      </c>
      <c r="X15" s="128"/>
      <c r="Z15" s="490"/>
      <c r="AA15" s="52" t="s">
        <v>194</v>
      </c>
      <c r="AB15" s="29">
        <v>4</v>
      </c>
      <c r="AC15" s="65">
        <f>O15</f>
        <v>300</v>
      </c>
      <c r="AD15" s="48">
        <f>P15</f>
        <v>200</v>
      </c>
      <c r="AE15" s="66">
        <f>Q15</f>
        <v>16.584</v>
      </c>
      <c r="AF15" s="67">
        <f>AE15/W15</f>
        <v>20.729999999999997</v>
      </c>
      <c r="AG15" s="49">
        <v>50</v>
      </c>
      <c r="AH15" s="48">
        <f>AC15-AG15</f>
        <v>250</v>
      </c>
      <c r="AI15" s="39">
        <f>AF15*10^6/(AD15*AH15^2)</f>
        <v>1.6583999999999997</v>
      </c>
      <c r="AJ15" s="48">
        <f>$H$13</f>
        <v>13</v>
      </c>
      <c r="AK15" s="49">
        <f>$H$14</f>
        <v>8</v>
      </c>
      <c r="AL15" s="48">
        <f>$H$15</f>
        <v>25</v>
      </c>
      <c r="AM15" s="51" t="str">
        <f>IF(AI15&lt;=V15,"OK","NG")</f>
        <v>OK</v>
      </c>
      <c r="AN15" s="68">
        <f>0.85*($H$7/$H$8)*(1-(SQRT(1-2*AI15/(0.85*$H$7))))</f>
        <v>4.3217918575018232E-3</v>
      </c>
      <c r="AO15" s="69">
        <f>1.4/$H$8</f>
        <v>3.4999999999999996E-3</v>
      </c>
      <c r="AP15" s="68">
        <f>0.5*U15</f>
        <v>1.3546874999999996E-2</v>
      </c>
      <c r="AQ15" s="69">
        <f>MAX(AN15:AO15)</f>
        <v>4.3217918575018232E-3</v>
      </c>
      <c r="AR15" s="67">
        <f>AQ15*AD15*AH15</f>
        <v>216.08959287509117</v>
      </c>
      <c r="AS15" s="39">
        <f>AR15/((22/7)/4*AJ15^2)</f>
        <v>1.6273557290216658</v>
      </c>
      <c r="AT15" s="150">
        <f>ROUNDUP(AS15,0)</f>
        <v>2</v>
      </c>
      <c r="AU15" s="49">
        <f>MAX(AT15,AV15)</f>
        <v>2</v>
      </c>
      <c r="AV15" s="155">
        <v>2</v>
      </c>
      <c r="AW15" s="39">
        <f>AU15*(22/7)/4*AJ15^2</f>
        <v>265.57142857142856</v>
      </c>
      <c r="AX15" s="52" t="str">
        <f>IF(AR15&lt;=AW15,"OK","NG")</f>
        <v>OK</v>
      </c>
      <c r="AY15" s="48">
        <f>(AD15-(2*AL15+2*AK15+AU15*AJ15))/(AU15-1)</f>
        <v>108</v>
      </c>
      <c r="AZ15" s="52" t="str">
        <f>IF(AY15&gt;= 25,"OK","NG")</f>
        <v>OK</v>
      </c>
      <c r="BA15" s="49">
        <f>AR15/2</f>
        <v>108.04479643754559</v>
      </c>
      <c r="BB15" s="67">
        <f>BA15/((22/7)/4*AJ15^2)</f>
        <v>0.8136778645108329</v>
      </c>
      <c r="BC15" s="163">
        <f>ROUNDUP(BB15,0)</f>
        <v>1</v>
      </c>
      <c r="BD15" s="49">
        <f>MAX(BC15,BE15)</f>
        <v>2</v>
      </c>
      <c r="BE15" s="163">
        <v>2</v>
      </c>
      <c r="BF15" s="67">
        <f>BD15*(22/7)/4*AJ15^2</f>
        <v>265.57142857142856</v>
      </c>
      <c r="BG15" s="51" t="str">
        <f>IF(BA15&lt;=BF15,"OK","NG")</f>
        <v>OK</v>
      </c>
      <c r="BH15" s="48">
        <f>(AD15-(2*AL15+2*AK15+BD15*AJ15))/(BD15-1)</f>
        <v>108</v>
      </c>
      <c r="BI15" s="70" t="str">
        <f>IF(BH15&gt;= 25,"OK","NG")</f>
        <v>OK</v>
      </c>
      <c r="BJ15" s="3"/>
      <c r="BK15" s="490"/>
      <c r="BL15" s="52" t="s">
        <v>194</v>
      </c>
      <c r="BM15" s="29">
        <v>4</v>
      </c>
      <c r="BN15" s="26">
        <f>O15</f>
        <v>300</v>
      </c>
      <c r="BO15" s="42">
        <f>P15</f>
        <v>200</v>
      </c>
      <c r="BP15" s="24">
        <f>R15</f>
        <v>16.584</v>
      </c>
      <c r="BQ15" s="28">
        <f>BP15/W15</f>
        <v>20.729999999999997</v>
      </c>
      <c r="BR15" s="26">
        <v>50</v>
      </c>
      <c r="BS15" s="42">
        <f>BN15-BR15</f>
        <v>250</v>
      </c>
      <c r="BT15" s="43">
        <f>BQ15*10^6/(BO15*BS15^2)</f>
        <v>1.6583999999999997</v>
      </c>
      <c r="BU15" s="42">
        <f>$H$13</f>
        <v>13</v>
      </c>
      <c r="BV15" s="26">
        <f>$H$14</f>
        <v>8</v>
      </c>
      <c r="BW15" s="42">
        <f>$H$15</f>
        <v>25</v>
      </c>
      <c r="BX15" s="44" t="str">
        <f>IF(BT15&lt;=V15,"OK","NG")</f>
        <v>OK</v>
      </c>
      <c r="BY15" s="45">
        <f>0.85*($H$7/$H$8)*(1-(SQRT(1-2*BT15/(0.85*$H$7))))</f>
        <v>4.3217918575018232E-3</v>
      </c>
      <c r="BZ15" s="46">
        <f>1.4/$H$8</f>
        <v>3.4999999999999996E-3</v>
      </c>
      <c r="CA15" s="45">
        <f>0.5*U15</f>
        <v>1.3546874999999996E-2</v>
      </c>
      <c r="CB15" s="46">
        <f>MAX(BY15:BZ15)</f>
        <v>4.3217918575018232E-3</v>
      </c>
      <c r="CC15" s="28">
        <f>CB15*BO15*BS15</f>
        <v>216.08959287509117</v>
      </c>
      <c r="CD15" s="43">
        <f>CC15/((22/7)/4*BU15^2)</f>
        <v>1.6273557290216658</v>
      </c>
      <c r="CE15" s="163">
        <f>ROUNDUP(CD15,0)</f>
        <v>2</v>
      </c>
      <c r="CF15" s="49">
        <f>MAX(CE15,CG15)</f>
        <v>2</v>
      </c>
      <c r="CG15" s="163">
        <v>2</v>
      </c>
      <c r="CH15" s="43">
        <f>CF15*(22/7)/4*BU15^2</f>
        <v>265.57142857142856</v>
      </c>
      <c r="CI15" s="47" t="str">
        <f>IF(CC15&lt;=CH15,"OK","NG")</f>
        <v>OK</v>
      </c>
      <c r="CJ15" s="26">
        <f>(BO15-(2*BW15+2*BV15+CF15*BU15))/(CF15-1)</f>
        <v>108</v>
      </c>
      <c r="CK15" s="47" t="str">
        <f>IF(CJ15&gt;= 25,"OK","NG")</f>
        <v>OK</v>
      </c>
      <c r="CL15" s="26">
        <f>CC15/2</f>
        <v>108.04479643754559</v>
      </c>
      <c r="CM15" s="28">
        <f>CL15/((22/7)/4*BU15^2)</f>
        <v>0.8136778645108329</v>
      </c>
      <c r="CN15" s="148">
        <f>ROUNDUP(CM15,0)</f>
        <v>1</v>
      </c>
      <c r="CO15" s="34">
        <f>MAX(CN15,CP15)</f>
        <v>2</v>
      </c>
      <c r="CP15" s="153">
        <v>2</v>
      </c>
      <c r="CQ15" s="28">
        <f>CO15*(22/7)/4*BU15^2</f>
        <v>265.57142857142856</v>
      </c>
      <c r="CR15" s="44" t="str">
        <f>IF(CL15&lt;=CQ15,"OK","NG")</f>
        <v>OK</v>
      </c>
      <c r="CS15" s="42">
        <f>(BO15-(2*BW15+2*BV15+CO15*BU15))/(CO15-1)</f>
        <v>108</v>
      </c>
      <c r="CT15" s="44" t="str">
        <f>IF(CS15&gt;= 25,"OK","NG")</f>
        <v>OK</v>
      </c>
      <c r="CV15" s="490"/>
      <c r="CW15" s="52" t="s">
        <v>194</v>
      </c>
      <c r="CX15" s="29">
        <v>4</v>
      </c>
      <c r="CY15" s="48">
        <f>O15</f>
        <v>300</v>
      </c>
      <c r="CZ15" s="49">
        <f>P15</f>
        <v>200</v>
      </c>
      <c r="DA15" s="50">
        <f>S15</f>
        <v>24.876000000000001</v>
      </c>
      <c r="DB15" s="49">
        <v>0.6</v>
      </c>
      <c r="DC15" s="48">
        <f>$H$9</f>
        <v>240</v>
      </c>
      <c r="DD15" s="49">
        <f>1/6*SQRT($H$7)*CZ15*BS15*0.001</f>
        <v>41.666666666666664</v>
      </c>
      <c r="DE15" s="48">
        <f>DB15*DD15</f>
        <v>24.999999999999996</v>
      </c>
      <c r="DF15" s="51" t="str">
        <f>IF(DA15&lt;=DE15,"Tul. Gerser Praktis","Perlu Tul Geser")</f>
        <v>Tul. Gerser Praktis</v>
      </c>
      <c r="DG15" s="48"/>
      <c r="DH15" s="49"/>
      <c r="DI15" s="48"/>
      <c r="DJ15" s="49"/>
      <c r="DK15" s="48"/>
      <c r="DL15" s="49"/>
      <c r="DM15" s="52"/>
      <c r="DN15" s="49"/>
      <c r="DO15" s="48"/>
      <c r="DP15" s="49">
        <v>200</v>
      </c>
      <c r="DQ15" s="53" t="s">
        <v>323</v>
      </c>
      <c r="DR15" s="143">
        <f>$H$14</f>
        <v>8</v>
      </c>
      <c r="DS15" s="54" t="s">
        <v>41</v>
      </c>
      <c r="DT15" s="55">
        <f>DP15</f>
        <v>200</v>
      </c>
      <c r="DW15" s="455"/>
      <c r="DX15" s="44" t="s">
        <v>194</v>
      </c>
      <c r="DY15" s="106">
        <v>4</v>
      </c>
      <c r="DZ15" s="25">
        <f>O15</f>
        <v>300</v>
      </c>
      <c r="EA15" s="26">
        <f>P15</f>
        <v>200</v>
      </c>
      <c r="EB15" s="42">
        <f>$H$13</f>
        <v>13</v>
      </c>
      <c r="EC15" s="26">
        <f>$H$14</f>
        <v>8</v>
      </c>
      <c r="ED15" s="42">
        <f>$H$15</f>
        <v>25</v>
      </c>
      <c r="EE15" s="148">
        <f t="shared" si="0"/>
        <v>2</v>
      </c>
      <c r="EF15" s="34">
        <f>MAX(EE15,EG15)</f>
        <v>2</v>
      </c>
      <c r="EG15" s="153">
        <v>2</v>
      </c>
      <c r="EH15" s="160">
        <f t="shared" si="1"/>
        <v>1</v>
      </c>
      <c r="EI15" s="34">
        <f>MAX(EH15,EJ15)</f>
        <v>2</v>
      </c>
      <c r="EJ15" s="160">
        <v>2</v>
      </c>
      <c r="EK15" s="148">
        <f t="shared" si="2"/>
        <v>2</v>
      </c>
      <c r="EL15" s="34">
        <f>MAX(EK15,EM15)</f>
        <v>2</v>
      </c>
      <c r="EM15" s="153">
        <v>2</v>
      </c>
      <c r="EN15" s="160">
        <f t="shared" si="3"/>
        <v>1</v>
      </c>
      <c r="EO15" s="34">
        <f>MAX(EN15,EP15)</f>
        <v>2</v>
      </c>
      <c r="EP15" s="160">
        <v>2</v>
      </c>
      <c r="EQ15" s="53" t="s">
        <v>323</v>
      </c>
      <c r="ER15" s="143">
        <f>$H$14</f>
        <v>8</v>
      </c>
      <c r="ES15" s="54" t="s">
        <v>41</v>
      </c>
      <c r="ET15" s="55">
        <f>DT15</f>
        <v>200</v>
      </c>
      <c r="EU15" s="55"/>
      <c r="EV15" s="499"/>
    </row>
    <row r="16" spans="1:152" x14ac:dyDescent="0.25">
      <c r="A16" s="125" t="s">
        <v>473</v>
      </c>
      <c r="G16" s="3"/>
      <c r="L16" s="453" t="s">
        <v>206</v>
      </c>
      <c r="M16" s="80" t="s">
        <v>205</v>
      </c>
      <c r="N16" s="99"/>
      <c r="O16" s="78"/>
      <c r="P16" s="15"/>
      <c r="Q16" s="82"/>
      <c r="R16" s="16"/>
      <c r="S16" s="82"/>
      <c r="T16" s="15"/>
      <c r="U16" s="82"/>
      <c r="V16" s="16"/>
      <c r="W16" s="83"/>
      <c r="X16" s="128"/>
      <c r="Z16" s="488" t="s">
        <v>206</v>
      </c>
      <c r="AA16" s="18" t="s">
        <v>205</v>
      </c>
      <c r="AB16" s="19"/>
      <c r="AC16" s="30"/>
      <c r="AD16" s="31"/>
      <c r="AE16" s="34"/>
      <c r="AF16" s="31"/>
      <c r="AG16" s="34"/>
      <c r="AH16" s="31"/>
      <c r="AI16" s="34"/>
      <c r="AJ16" s="31"/>
      <c r="AK16" s="34"/>
      <c r="AL16" s="31"/>
      <c r="AM16" s="36"/>
      <c r="AN16" s="31"/>
      <c r="AO16" s="34"/>
      <c r="AP16" s="31"/>
      <c r="AQ16" s="34"/>
      <c r="AR16" s="31"/>
      <c r="AS16" s="34"/>
      <c r="AT16" s="148"/>
      <c r="AU16" s="34"/>
      <c r="AV16" s="153"/>
      <c r="AW16" s="34"/>
      <c r="AX16" s="40"/>
      <c r="AY16" s="34"/>
      <c r="AZ16" s="40"/>
      <c r="BA16" s="34"/>
      <c r="BB16" s="31"/>
      <c r="BC16" s="160"/>
      <c r="BD16" s="34"/>
      <c r="BE16" s="160"/>
      <c r="BF16" s="31"/>
      <c r="BG16" s="36"/>
      <c r="BH16" s="31"/>
      <c r="BI16" s="41"/>
      <c r="BJ16" s="3"/>
      <c r="BK16" s="488" t="s">
        <v>206</v>
      </c>
      <c r="BL16" s="18" t="s">
        <v>205</v>
      </c>
      <c r="BM16" s="19"/>
      <c r="BN16" s="57"/>
      <c r="BO16" s="3"/>
      <c r="BP16" s="57"/>
      <c r="BQ16" s="3"/>
      <c r="BR16" s="57"/>
      <c r="BS16" s="3"/>
      <c r="BT16" s="57"/>
      <c r="BU16" s="3"/>
      <c r="BV16" s="57"/>
      <c r="BW16" s="3"/>
      <c r="BX16" s="63"/>
      <c r="BY16" s="3"/>
      <c r="BZ16" s="57"/>
      <c r="CA16" s="3"/>
      <c r="CB16" s="57"/>
      <c r="CC16" s="3"/>
      <c r="CD16" s="57"/>
      <c r="CE16" s="160"/>
      <c r="CF16" s="34"/>
      <c r="CG16" s="160"/>
      <c r="CH16" s="57"/>
      <c r="CI16" s="64"/>
      <c r="CJ16" s="57"/>
      <c r="CK16" s="64"/>
      <c r="CL16" s="57"/>
      <c r="CM16" s="3"/>
      <c r="CN16" s="149"/>
      <c r="CO16" s="21"/>
      <c r="CP16" s="154"/>
      <c r="CQ16" s="3"/>
      <c r="CR16" s="63"/>
      <c r="CS16" s="3"/>
      <c r="CT16" s="63"/>
      <c r="CV16" s="488" t="s">
        <v>206</v>
      </c>
      <c r="CW16" s="18" t="s">
        <v>205</v>
      </c>
      <c r="CX16" s="19"/>
      <c r="CY16" s="31"/>
      <c r="CZ16" s="34"/>
      <c r="DA16" s="31"/>
      <c r="DB16" s="34"/>
      <c r="DC16" s="31"/>
      <c r="DD16" s="34"/>
      <c r="DE16" s="31"/>
      <c r="DF16" s="36"/>
      <c r="DG16" s="31"/>
      <c r="DH16" s="34"/>
      <c r="DI16" s="31"/>
      <c r="DJ16" s="34"/>
      <c r="DK16" s="31"/>
      <c r="DL16" s="34"/>
      <c r="DM16" s="40"/>
      <c r="DN16" s="34"/>
      <c r="DO16" s="31"/>
      <c r="DP16" s="34"/>
      <c r="DQ16" s="75"/>
      <c r="DR16" s="115"/>
      <c r="DS16" s="131"/>
      <c r="DT16" s="77"/>
      <c r="DW16" s="453" t="s">
        <v>206</v>
      </c>
      <c r="DX16" s="80" t="s">
        <v>205</v>
      </c>
      <c r="DY16" s="99"/>
      <c r="DZ16" s="78"/>
      <c r="EA16" s="15"/>
      <c r="EB16" s="3"/>
      <c r="EC16" s="57"/>
      <c r="ED16" s="3"/>
      <c r="EE16" s="149">
        <f t="shared" si="0"/>
        <v>0</v>
      </c>
      <c r="EF16" s="21"/>
      <c r="EG16" s="154"/>
      <c r="EH16" s="162">
        <f t="shared" si="1"/>
        <v>0</v>
      </c>
      <c r="EI16" s="21"/>
      <c r="EJ16" s="162"/>
      <c r="EK16" s="149">
        <f t="shared" si="2"/>
        <v>0</v>
      </c>
      <c r="EL16" s="21"/>
      <c r="EM16" s="154"/>
      <c r="EN16" s="162">
        <f t="shared" si="3"/>
        <v>0</v>
      </c>
      <c r="EO16" s="21"/>
      <c r="EP16" s="154"/>
      <c r="EQ16" s="75"/>
      <c r="ER16" s="115"/>
      <c r="ES16" s="131"/>
      <c r="ET16" s="77"/>
      <c r="EU16" s="77"/>
      <c r="EV16" s="499" t="s">
        <v>506</v>
      </c>
    </row>
    <row r="17" spans="1:152" x14ac:dyDescent="0.25">
      <c r="A17" s="112" t="s">
        <v>255</v>
      </c>
      <c r="G17" s="2" t="s">
        <v>256</v>
      </c>
      <c r="H17" s="2" t="s">
        <v>123</v>
      </c>
      <c r="I17" s="112" t="s">
        <v>189</v>
      </c>
      <c r="L17" s="455"/>
      <c r="M17" s="44" t="s">
        <v>194</v>
      </c>
      <c r="N17" s="106">
        <v>4</v>
      </c>
      <c r="O17" s="25">
        <f>'QE &amp; MOMEN'!S28*1000</f>
        <v>300</v>
      </c>
      <c r="P17" s="26">
        <f>'QE &amp; MOMEN'!V28*1000</f>
        <v>150</v>
      </c>
      <c r="Q17" s="27">
        <f>'QE &amp; MOMEN'!AA28</f>
        <v>9.3339275000000015</v>
      </c>
      <c r="R17" s="24">
        <f>'QE &amp; MOMEN'!AA28</f>
        <v>9.3339275000000015</v>
      </c>
      <c r="S17" s="27">
        <f>'QE &amp; MOMEN'!AB28</f>
        <v>14.000891250000002</v>
      </c>
      <c r="T17" s="26">
        <f>$H$4</f>
        <v>0.85</v>
      </c>
      <c r="U17" s="27">
        <f>T17*0.85*$H$7/$H$8*600/(600+$H$8)</f>
        <v>2.7093749999999993E-2</v>
      </c>
      <c r="V17" s="24">
        <f>0.75*U17*$H$8*(1-(0.5*0.75*U17*$H$8/(0.85*$H$7)))</f>
        <v>6.5736210937499981</v>
      </c>
      <c r="W17" s="28">
        <f>$H$27</f>
        <v>0.8</v>
      </c>
      <c r="X17" s="128"/>
      <c r="Z17" s="490"/>
      <c r="AA17" s="52" t="s">
        <v>194</v>
      </c>
      <c r="AB17" s="29">
        <v>4</v>
      </c>
      <c r="AC17" s="30">
        <f>O17</f>
        <v>300</v>
      </c>
      <c r="AD17" s="31">
        <f>P17</f>
        <v>150</v>
      </c>
      <c r="AE17" s="32">
        <f>Q17</f>
        <v>9.3339275000000015</v>
      </c>
      <c r="AF17" s="33">
        <f>AE17/W17</f>
        <v>11.667409375000002</v>
      </c>
      <c r="AG17" s="34">
        <v>50</v>
      </c>
      <c r="AH17" s="31">
        <f>AC17-AG17</f>
        <v>250</v>
      </c>
      <c r="AI17" s="35">
        <f>AF17*10^6/(AD17*AH17^2)</f>
        <v>1.2445236666666668</v>
      </c>
      <c r="AJ17" s="31">
        <f>$H$13</f>
        <v>13</v>
      </c>
      <c r="AK17" s="34">
        <f>$H$14</f>
        <v>8</v>
      </c>
      <c r="AL17" s="31">
        <f>$H$15</f>
        <v>25</v>
      </c>
      <c r="AM17" s="36" t="str">
        <f>IF(AI17&lt;=V17,"OK","NG")</f>
        <v>OK</v>
      </c>
      <c r="AN17" s="37">
        <f>0.85*($H$7/$H$8)*(1-(SQRT(1-2*AI17/(0.85*$H$7))))</f>
        <v>3.2081789269221722E-3</v>
      </c>
      <c r="AO17" s="38">
        <f>1.4/$H$8</f>
        <v>3.4999999999999996E-3</v>
      </c>
      <c r="AP17" s="37">
        <f>0.5*U17</f>
        <v>1.3546874999999996E-2</v>
      </c>
      <c r="AQ17" s="38">
        <f>MAX(AN17:AO17)</f>
        <v>3.4999999999999996E-3</v>
      </c>
      <c r="AR17" s="33">
        <f>AQ17*AD17*AH17</f>
        <v>131.24999999999997</v>
      </c>
      <c r="AS17" s="35">
        <f>AR17/((22/7)/4*AJ17^2)</f>
        <v>0.98843464228079603</v>
      </c>
      <c r="AT17" s="148">
        <f>ROUNDUP(AS17,0)</f>
        <v>1</v>
      </c>
      <c r="AU17" s="49">
        <f>MAX(AT17,AV17)</f>
        <v>2</v>
      </c>
      <c r="AV17" s="153">
        <v>2</v>
      </c>
      <c r="AW17" s="39">
        <f>AU17*(22/7)/4*AJ17^2</f>
        <v>265.57142857142856</v>
      </c>
      <c r="AX17" s="40" t="str">
        <f>IF(AR17&lt;=AW17,"OK","NG")</f>
        <v>OK</v>
      </c>
      <c r="AY17" s="34">
        <f>(AD17-(2*AL17+2*AK17+AU17*AJ17))/(AU17-1)</f>
        <v>58</v>
      </c>
      <c r="AZ17" s="40" t="str">
        <f>IF(AY17&gt;= 25,"OK","NG")</f>
        <v>OK</v>
      </c>
      <c r="BA17" s="34">
        <f>AR17/2</f>
        <v>65.624999999999986</v>
      </c>
      <c r="BB17" s="33">
        <f>BA17/((22/7)/4*AJ17^2)</f>
        <v>0.49421732114039801</v>
      </c>
      <c r="BC17" s="160">
        <f>ROUNDUP(BB17,0)</f>
        <v>1</v>
      </c>
      <c r="BD17" s="34">
        <f>MAX(BC17,BE17)</f>
        <v>2</v>
      </c>
      <c r="BE17" s="160">
        <v>2</v>
      </c>
      <c r="BF17" s="33">
        <f>BD17*(22/7)/4*AJ17^2</f>
        <v>265.57142857142856</v>
      </c>
      <c r="BG17" s="36" t="str">
        <f>IF(BA17&lt;=BF17,"OK","NG")</f>
        <v>OK</v>
      </c>
      <c r="BH17" s="31">
        <f>(AD17-(2*AL17+2*AK17+BD17*AJ17))/(BD17-1)</f>
        <v>58</v>
      </c>
      <c r="BI17" s="41" t="str">
        <f>IF(BH17&gt;= 25,"OK","NG")</f>
        <v>OK</v>
      </c>
      <c r="BJ17" s="3"/>
      <c r="BK17" s="490"/>
      <c r="BL17" s="52" t="s">
        <v>194</v>
      </c>
      <c r="BM17" s="29">
        <v>4</v>
      </c>
      <c r="BN17" s="57">
        <f>O17</f>
        <v>300</v>
      </c>
      <c r="BO17" s="3">
        <f>P17</f>
        <v>150</v>
      </c>
      <c r="BP17" s="59">
        <f>R17</f>
        <v>9.3339275000000015</v>
      </c>
      <c r="BQ17" s="60">
        <f>BP17/W17</f>
        <v>11.667409375000002</v>
      </c>
      <c r="BR17" s="57">
        <v>50</v>
      </c>
      <c r="BS17" s="3">
        <f>BN17-BR17</f>
        <v>250</v>
      </c>
      <c r="BT17" s="71">
        <f>BQ17*10^6/(BO17*BS17^2)</f>
        <v>1.2445236666666668</v>
      </c>
      <c r="BU17" s="3">
        <f>$H$13</f>
        <v>13</v>
      </c>
      <c r="BV17" s="57">
        <f>$H$14</f>
        <v>8</v>
      </c>
      <c r="BW17" s="3">
        <f>$H$15</f>
        <v>25</v>
      </c>
      <c r="BX17" s="63" t="str">
        <f>IF(BT17&lt;=V17,"OK","NG")</f>
        <v>OK</v>
      </c>
      <c r="BY17" s="72">
        <f>0.85*($H$7/$H$8)*(1-(SQRT(1-2*BT17/(0.85*$H$7))))</f>
        <v>3.2081789269221722E-3</v>
      </c>
      <c r="BZ17" s="73">
        <f>1.4/$H$8</f>
        <v>3.4999999999999996E-3</v>
      </c>
      <c r="CA17" s="72">
        <f>0.5*U17</f>
        <v>1.3546874999999996E-2</v>
      </c>
      <c r="CB17" s="73">
        <f>MAX(BY17:BZ17)</f>
        <v>3.4999999999999996E-3</v>
      </c>
      <c r="CC17" s="60">
        <f>CB17*BO17*BS17</f>
        <v>131.24999999999997</v>
      </c>
      <c r="CD17" s="71">
        <f>CC17/((22/7)/4*BU17^2)</f>
        <v>0.98843464228079603</v>
      </c>
      <c r="CE17" s="160">
        <f>ROUNDUP(CD17,0)</f>
        <v>1</v>
      </c>
      <c r="CF17" s="34">
        <f>MAX(CE17,CG17)</f>
        <v>2</v>
      </c>
      <c r="CG17" s="160">
        <v>2</v>
      </c>
      <c r="CH17" s="43">
        <f>CF17*(22/7)/4*BU17^2</f>
        <v>265.57142857142856</v>
      </c>
      <c r="CI17" s="47" t="str">
        <f>IF(CC17&lt;=CH17,"OK","NG")</f>
        <v>OK</v>
      </c>
      <c r="CJ17" s="26">
        <f>(BO17-(2*BW17+2*BV17+CF17*BU17))/(CF17-1)</f>
        <v>58</v>
      </c>
      <c r="CK17" s="47" t="str">
        <f>IF(CJ17&gt;= 25,"OK","NG")</f>
        <v>OK</v>
      </c>
      <c r="CL17" s="26">
        <f>CC17/2</f>
        <v>65.624999999999986</v>
      </c>
      <c r="CM17" s="28">
        <f>CL17/((22/7)/4*BU17^2)</f>
        <v>0.49421732114039801</v>
      </c>
      <c r="CN17" s="150">
        <f>ROUNDUP(CM17,0)</f>
        <v>1</v>
      </c>
      <c r="CO17" s="34">
        <f>MAX(CN17,CP17)</f>
        <v>2</v>
      </c>
      <c r="CP17" s="153">
        <v>2</v>
      </c>
      <c r="CQ17" s="28">
        <f>CO17*(22/7)/4*BU17^2</f>
        <v>265.57142857142856</v>
      </c>
      <c r="CR17" s="44" t="str">
        <f>IF(CL17&lt;=CQ17,"OK","NG")</f>
        <v>OK</v>
      </c>
      <c r="CS17" s="42">
        <f>(BO17-(2*BW17+2*BV17+CO17*BU17))/(CO17-1)</f>
        <v>58</v>
      </c>
      <c r="CT17" s="63" t="str">
        <f>IF(CS17&gt;= 25,"OK","NG")</f>
        <v>OK</v>
      </c>
      <c r="CV17" s="490"/>
      <c r="CW17" s="52" t="s">
        <v>194</v>
      </c>
      <c r="CX17" s="29">
        <v>4</v>
      </c>
      <c r="CY17" s="31">
        <f>O17</f>
        <v>300</v>
      </c>
      <c r="CZ17" s="34">
        <f>P17</f>
        <v>150</v>
      </c>
      <c r="DA17" s="74">
        <f>S17</f>
        <v>14.000891250000002</v>
      </c>
      <c r="DB17" s="34">
        <v>0.6</v>
      </c>
      <c r="DC17" s="31">
        <f>$H$9</f>
        <v>240</v>
      </c>
      <c r="DD17" s="34">
        <f>1/6*SQRT($H$7)*CZ17*BS17*0.001</f>
        <v>31.249999999999996</v>
      </c>
      <c r="DE17" s="31">
        <f>DB17*DD17</f>
        <v>18.749999999999996</v>
      </c>
      <c r="DF17" s="36" t="str">
        <f>IF(DA17&lt;=DE17,"Tul. Gerser Praktis","Perlu Tul Geser")</f>
        <v>Tul. Gerser Praktis</v>
      </c>
      <c r="DG17" s="31"/>
      <c r="DH17" s="34"/>
      <c r="DI17" s="31"/>
      <c r="DJ17" s="34"/>
      <c r="DK17" s="31"/>
      <c r="DL17" s="34"/>
      <c r="DM17" s="40"/>
      <c r="DN17" s="34"/>
      <c r="DO17" s="31"/>
      <c r="DP17" s="34">
        <v>200</v>
      </c>
      <c r="DQ17" s="75" t="s">
        <v>323</v>
      </c>
      <c r="DR17" s="115">
        <f>$H$14</f>
        <v>8</v>
      </c>
      <c r="DS17" s="76" t="s">
        <v>41</v>
      </c>
      <c r="DT17" s="77">
        <f>DP17</f>
        <v>200</v>
      </c>
      <c r="DW17" s="455"/>
      <c r="DX17" s="44" t="s">
        <v>194</v>
      </c>
      <c r="DY17" s="106">
        <v>4</v>
      </c>
      <c r="DZ17" s="25">
        <f>O17</f>
        <v>300</v>
      </c>
      <c r="EA17" s="26">
        <f>P17</f>
        <v>150</v>
      </c>
      <c r="EB17" s="3">
        <f>$H$13</f>
        <v>13</v>
      </c>
      <c r="EC17" s="57">
        <f>$H$14</f>
        <v>8</v>
      </c>
      <c r="ED17" s="3">
        <f>$H$15</f>
        <v>25</v>
      </c>
      <c r="EE17" s="150">
        <f t="shared" si="0"/>
        <v>1</v>
      </c>
      <c r="EF17" s="49">
        <f>MAX(EE17,EG17)</f>
        <v>2</v>
      </c>
      <c r="EG17" s="155">
        <v>2</v>
      </c>
      <c r="EH17" s="163">
        <f t="shared" si="1"/>
        <v>1</v>
      </c>
      <c r="EI17" s="49">
        <f>MAX(EH17,EJ17)</f>
        <v>2</v>
      </c>
      <c r="EJ17" s="163">
        <v>2</v>
      </c>
      <c r="EK17" s="150">
        <f t="shared" si="2"/>
        <v>1</v>
      </c>
      <c r="EL17" s="49">
        <f>MAX(EK17,EM17)</f>
        <v>2</v>
      </c>
      <c r="EM17" s="155">
        <v>2</v>
      </c>
      <c r="EN17" s="163">
        <f t="shared" si="3"/>
        <v>1</v>
      </c>
      <c r="EO17" s="49">
        <f>MAX(EN17,EP17)</f>
        <v>2</v>
      </c>
      <c r="EP17" s="155">
        <v>2</v>
      </c>
      <c r="EQ17" s="75" t="s">
        <v>323</v>
      </c>
      <c r="ER17" s="115">
        <f>$H$14</f>
        <v>8</v>
      </c>
      <c r="ES17" s="76" t="s">
        <v>41</v>
      </c>
      <c r="ET17" s="55">
        <f>DT17</f>
        <v>200</v>
      </c>
      <c r="EU17" s="55"/>
      <c r="EV17" s="499"/>
    </row>
    <row r="18" spans="1:152" x14ac:dyDescent="0.25">
      <c r="A18" s="112" t="s">
        <v>257</v>
      </c>
      <c r="G18" s="2" t="s">
        <v>258</v>
      </c>
      <c r="H18" s="2" t="s">
        <v>123</v>
      </c>
      <c r="I18" s="112" t="s">
        <v>189</v>
      </c>
      <c r="L18" s="453" t="s">
        <v>208</v>
      </c>
      <c r="M18" s="80" t="s">
        <v>202</v>
      </c>
      <c r="N18" s="99"/>
      <c r="O18" s="56"/>
      <c r="P18" s="57"/>
      <c r="Q18" s="58"/>
      <c r="R18" s="59"/>
      <c r="S18" s="58"/>
      <c r="T18" s="57"/>
      <c r="U18" s="58"/>
      <c r="V18" s="59"/>
      <c r="W18" s="60"/>
      <c r="X18" s="128"/>
      <c r="Z18" s="488" t="s">
        <v>208</v>
      </c>
      <c r="AA18" s="18" t="s">
        <v>202</v>
      </c>
      <c r="AB18" s="19"/>
      <c r="AC18" s="61"/>
      <c r="AD18" s="20"/>
      <c r="AE18" s="21"/>
      <c r="AF18" s="20"/>
      <c r="AG18" s="21"/>
      <c r="AH18" s="20"/>
      <c r="AI18" s="21"/>
      <c r="AJ18" s="20"/>
      <c r="AK18" s="21"/>
      <c r="AL18" s="20"/>
      <c r="AM18" s="22"/>
      <c r="AN18" s="101"/>
      <c r="AO18" s="21"/>
      <c r="AP18" s="20"/>
      <c r="AQ18" s="21"/>
      <c r="AR18" s="20"/>
      <c r="AS18" s="21"/>
      <c r="AT18" s="149"/>
      <c r="AU18" s="34"/>
      <c r="AV18" s="154"/>
      <c r="AW18" s="21"/>
      <c r="AX18" s="18"/>
      <c r="AY18" s="21"/>
      <c r="AZ18" s="18"/>
      <c r="BA18" s="21"/>
      <c r="BB18" s="20"/>
      <c r="BC18" s="162"/>
      <c r="BD18" s="21"/>
      <c r="BE18" s="162"/>
      <c r="BF18" s="20"/>
      <c r="BG18" s="22"/>
      <c r="BH18" s="20"/>
      <c r="BI18" s="62"/>
      <c r="BJ18" s="3"/>
      <c r="BK18" s="488" t="s">
        <v>208</v>
      </c>
      <c r="BL18" s="18" t="s">
        <v>202</v>
      </c>
      <c r="BM18" s="19"/>
      <c r="BN18" s="15"/>
      <c r="BO18" s="79"/>
      <c r="BP18" s="15"/>
      <c r="BQ18" s="79"/>
      <c r="BR18" s="15"/>
      <c r="BS18" s="79"/>
      <c r="BT18" s="15"/>
      <c r="BU18" s="79"/>
      <c r="BV18" s="15"/>
      <c r="BW18" s="79"/>
      <c r="BX18" s="80"/>
      <c r="BY18" s="79"/>
      <c r="BZ18" s="15"/>
      <c r="CA18" s="79"/>
      <c r="CB18" s="15"/>
      <c r="CC18" s="79"/>
      <c r="CD18" s="15"/>
      <c r="CE18" s="162"/>
      <c r="CF18" s="21"/>
      <c r="CG18" s="162"/>
      <c r="CH18" s="15"/>
      <c r="CI18" s="81"/>
      <c r="CJ18" s="15"/>
      <c r="CK18" s="81"/>
      <c r="CL18" s="15"/>
      <c r="CM18" s="79"/>
      <c r="CN18" s="149"/>
      <c r="CO18" s="21"/>
      <c r="CP18" s="154"/>
      <c r="CQ18" s="79"/>
      <c r="CR18" s="80"/>
      <c r="CS18" s="79"/>
      <c r="CT18" s="80"/>
      <c r="CV18" s="488" t="s">
        <v>208</v>
      </c>
      <c r="CW18" s="18" t="s">
        <v>202</v>
      </c>
      <c r="CX18" s="19"/>
      <c r="CY18" s="20"/>
      <c r="CZ18" s="21"/>
      <c r="DA18" s="20"/>
      <c r="DB18" s="21"/>
      <c r="DC18" s="20"/>
      <c r="DD18" s="21"/>
      <c r="DE18" s="20"/>
      <c r="DF18" s="22"/>
      <c r="DG18" s="20"/>
      <c r="DH18" s="21"/>
      <c r="DI18" s="20"/>
      <c r="DJ18" s="21"/>
      <c r="DK18" s="20"/>
      <c r="DL18" s="21"/>
      <c r="DM18" s="18"/>
      <c r="DN18" s="21"/>
      <c r="DO18" s="20"/>
      <c r="DP18" s="21"/>
      <c r="DQ18" s="132"/>
      <c r="DR18" s="141"/>
      <c r="DS18" s="102"/>
      <c r="DT18" s="133"/>
      <c r="DW18" s="453" t="s">
        <v>208</v>
      </c>
      <c r="DX18" s="80" t="s">
        <v>202</v>
      </c>
      <c r="DY18" s="99"/>
      <c r="DZ18" s="56"/>
      <c r="EA18" s="57"/>
      <c r="EB18" s="79"/>
      <c r="EC18" s="15"/>
      <c r="ED18" s="79"/>
      <c r="EE18" s="148">
        <f t="shared" si="0"/>
        <v>0</v>
      </c>
      <c r="EF18" s="34"/>
      <c r="EG18" s="153"/>
      <c r="EH18" s="160">
        <f t="shared" si="1"/>
        <v>0</v>
      </c>
      <c r="EI18" s="34"/>
      <c r="EJ18" s="160"/>
      <c r="EK18" s="148">
        <f t="shared" si="2"/>
        <v>0</v>
      </c>
      <c r="EL18" s="34"/>
      <c r="EM18" s="153"/>
      <c r="EN18" s="160">
        <f t="shared" si="3"/>
        <v>0</v>
      </c>
      <c r="EO18" s="34"/>
      <c r="EP18" s="160"/>
      <c r="EQ18" s="132"/>
      <c r="ER18" s="141"/>
      <c r="ES18" s="102"/>
      <c r="ET18" s="133"/>
      <c r="EU18" s="133"/>
      <c r="EV18" s="499" t="s">
        <v>397</v>
      </c>
    </row>
    <row r="19" spans="1:152" x14ac:dyDescent="0.25">
      <c r="A19" s="112" t="s">
        <v>259</v>
      </c>
      <c r="G19" s="2" t="s">
        <v>260</v>
      </c>
      <c r="H19" s="2" t="s">
        <v>123</v>
      </c>
      <c r="I19" s="112" t="s">
        <v>261</v>
      </c>
      <c r="L19" s="454"/>
      <c r="M19" s="44" t="s">
        <v>194</v>
      </c>
      <c r="N19" s="106">
        <v>1.5</v>
      </c>
      <c r="O19" s="25">
        <f>'QE &amp; MOMEN'!S30*1000</f>
        <v>400</v>
      </c>
      <c r="P19" s="26">
        <f>'QE &amp; MOMEN'!V30*1000</f>
        <v>250</v>
      </c>
      <c r="Q19" s="27">
        <f>'QE &amp; MOMEN'!AA30</f>
        <v>1.1328749999999999</v>
      </c>
      <c r="R19" s="24">
        <f>'QE &amp; MOMEN'!AA30</f>
        <v>1.1328749999999999</v>
      </c>
      <c r="S19" s="27">
        <f>'QE &amp; MOMEN'!AB30</f>
        <v>4.5314999999999994</v>
      </c>
      <c r="T19" s="26">
        <f>$H$4</f>
        <v>0.85</v>
      </c>
      <c r="U19" s="27">
        <f>T19*0.85*$H$7/$H$8*600/(600+$H$8)</f>
        <v>2.7093749999999993E-2</v>
      </c>
      <c r="V19" s="24">
        <f>0.75*U19*$H$8*(1-(0.5*0.75*U19*$H$8/(0.85*$H$7)))</f>
        <v>6.5736210937499981</v>
      </c>
      <c r="W19" s="28">
        <f>$H$27</f>
        <v>0.8</v>
      </c>
      <c r="X19" s="128"/>
      <c r="Z19" s="489"/>
      <c r="AA19" s="52" t="s">
        <v>194</v>
      </c>
      <c r="AB19" s="29">
        <v>1.5</v>
      </c>
      <c r="AC19" s="65">
        <f>O19</f>
        <v>400</v>
      </c>
      <c r="AD19" s="48">
        <f>P19</f>
        <v>250</v>
      </c>
      <c r="AE19" s="66">
        <f>Q19</f>
        <v>1.1328749999999999</v>
      </c>
      <c r="AF19" s="67">
        <f>AE19/W19</f>
        <v>1.4160937499999997</v>
      </c>
      <c r="AG19" s="49">
        <v>50</v>
      </c>
      <c r="AH19" s="48">
        <f>AC19-AG19</f>
        <v>350</v>
      </c>
      <c r="AI19" s="39">
        <f>AF19*10^6/(AD19*AH19^2)</f>
        <v>4.6239795918367341E-2</v>
      </c>
      <c r="AJ19" s="48">
        <f>$H$13</f>
        <v>13</v>
      </c>
      <c r="AK19" s="49">
        <f>$H$14</f>
        <v>8</v>
      </c>
      <c r="AL19" s="48">
        <f>$H$15</f>
        <v>25</v>
      </c>
      <c r="AM19" s="51" t="str">
        <f>IF(AI19&lt;=V19,"OK","NG")</f>
        <v>OK</v>
      </c>
      <c r="AN19" s="68">
        <f>0.85*($H$7/$H$8)*(1-(SQRT(1-2*AI19/(0.85*$H$7))))</f>
        <v>1.1572553591038086E-4</v>
      </c>
      <c r="AO19" s="69">
        <f>1.4/$H$8</f>
        <v>3.4999999999999996E-3</v>
      </c>
      <c r="AP19" s="68">
        <f>0.5*U19</f>
        <v>1.3546874999999996E-2</v>
      </c>
      <c r="AQ19" s="69">
        <f>MAX(AN19:AO19)</f>
        <v>3.4999999999999996E-3</v>
      </c>
      <c r="AR19" s="67">
        <f>AQ19*AD19*AH19</f>
        <v>306.24999999999994</v>
      </c>
      <c r="AS19" s="39">
        <f>AR19/((22/7)/4*AJ19^2)</f>
        <v>2.3063474986551906</v>
      </c>
      <c r="AT19" s="150">
        <f>ROUNDUP(AS19,0)</f>
        <v>3</v>
      </c>
      <c r="AU19" s="49">
        <f>MAX(AT19,AV19)</f>
        <v>3</v>
      </c>
      <c r="AV19" s="155">
        <v>2</v>
      </c>
      <c r="AW19" s="39">
        <f>AU19*(22/7)/4*AJ19^2</f>
        <v>398.35714285714289</v>
      </c>
      <c r="AX19" s="52" t="str">
        <f>IF(AR19&lt;=AW19,"OK","NG")</f>
        <v>OK</v>
      </c>
      <c r="AY19" s="48">
        <f>(AD19-(2*AL19+2*AK19+AU19*AJ19))/(AU19-1)</f>
        <v>72.5</v>
      </c>
      <c r="AZ19" s="52" t="str">
        <f>IF(AY19&gt;= 25,"OK","NG")</f>
        <v>OK</v>
      </c>
      <c r="BA19" s="49">
        <f>AR19/2</f>
        <v>153.12499999999997</v>
      </c>
      <c r="BB19" s="67">
        <f>BA19/((22/7)/4*AJ19^2)</f>
        <v>1.1531737493275953</v>
      </c>
      <c r="BC19" s="160">
        <f>ROUNDUP(BB19,0)</f>
        <v>2</v>
      </c>
      <c r="BD19" s="34">
        <f>MAX(BC19,BE19)</f>
        <v>2</v>
      </c>
      <c r="BE19" s="160">
        <v>2</v>
      </c>
      <c r="BF19" s="33">
        <f>BD19*(22/7)/4*AJ19^2</f>
        <v>265.57142857142856</v>
      </c>
      <c r="BG19" s="36" t="str">
        <f>IF(BA19&lt;=BF19,"OK","NG")</f>
        <v>OK</v>
      </c>
      <c r="BH19" s="31">
        <f>(AD19-(2*AL19+2*AK19+BD19*AJ19))/(BD19-1)</f>
        <v>158</v>
      </c>
      <c r="BI19" s="70" t="str">
        <f>IF(BH19&gt;= 25,"OK","NG")</f>
        <v>OK</v>
      </c>
      <c r="BJ19" s="3"/>
      <c r="BK19" s="489"/>
      <c r="BL19" s="52" t="s">
        <v>194</v>
      </c>
      <c r="BM19" s="29">
        <v>1.5</v>
      </c>
      <c r="BN19" s="26">
        <f>O19</f>
        <v>400</v>
      </c>
      <c r="BO19" s="42">
        <f>P19</f>
        <v>250</v>
      </c>
      <c r="BP19" s="24">
        <f>R19</f>
        <v>1.1328749999999999</v>
      </c>
      <c r="BQ19" s="28">
        <f>BP19/W19</f>
        <v>1.4160937499999997</v>
      </c>
      <c r="BR19" s="26">
        <v>50</v>
      </c>
      <c r="BS19" s="42">
        <f>BN19-BR19</f>
        <v>350</v>
      </c>
      <c r="BT19" s="43">
        <f>BQ19*10^6/(BO19*BS19^2)</f>
        <v>4.6239795918367341E-2</v>
      </c>
      <c r="BU19" s="42">
        <f>$H$13</f>
        <v>13</v>
      </c>
      <c r="BV19" s="26">
        <f>$H$14</f>
        <v>8</v>
      </c>
      <c r="BW19" s="42">
        <f>$H$15</f>
        <v>25</v>
      </c>
      <c r="BX19" s="44" t="str">
        <f>IF(BT19&lt;=V19,"OK","NG")</f>
        <v>OK</v>
      </c>
      <c r="BY19" s="45">
        <f>0.85*($H$7/$H$8)*(1-(SQRT(1-2*BT19/(0.85*$H$7))))</f>
        <v>1.1572553591038086E-4</v>
      </c>
      <c r="BZ19" s="46">
        <f>1.4/$H$8</f>
        <v>3.4999999999999996E-3</v>
      </c>
      <c r="CA19" s="45">
        <f>0.5*U19</f>
        <v>1.3546874999999996E-2</v>
      </c>
      <c r="CB19" s="46">
        <f>MAX(BY19:BZ19)</f>
        <v>3.4999999999999996E-3</v>
      </c>
      <c r="CC19" s="28">
        <f>CB19*BO19*BS19</f>
        <v>306.24999999999994</v>
      </c>
      <c r="CD19" s="43">
        <f>CC19/((22/7)/4*BU19^2)</f>
        <v>2.3063474986551906</v>
      </c>
      <c r="CE19" s="163">
        <f>ROUNDUP(CD19,0)</f>
        <v>3</v>
      </c>
      <c r="CF19" s="34">
        <f>MAX(CE19,CG19)</f>
        <v>3</v>
      </c>
      <c r="CG19" s="160">
        <v>2</v>
      </c>
      <c r="CH19" s="43">
        <f>CF19*(22/7)/4*BU19^2</f>
        <v>398.35714285714289</v>
      </c>
      <c r="CI19" s="47" t="str">
        <f>IF(CC19&lt;=CH19,"OK","NG")</f>
        <v>OK</v>
      </c>
      <c r="CJ19" s="26">
        <f>(BO19-(2*BW19+2*BV19+CF19*BU19))/(CF19-1)</f>
        <v>72.5</v>
      </c>
      <c r="CK19" s="47" t="str">
        <f>IF(CJ19&gt;= 25,"OK","NG")</f>
        <v>OK</v>
      </c>
      <c r="CL19" s="26">
        <f>CC19/2</f>
        <v>153.12499999999997</v>
      </c>
      <c r="CM19" s="28">
        <f>CL19/((22/7)/4*BU19^2)</f>
        <v>1.1531737493275953</v>
      </c>
      <c r="CN19" s="150">
        <f>ROUNDUP(CM19,0)</f>
        <v>2</v>
      </c>
      <c r="CO19" s="34">
        <f>MAX(CN19,CP19)</f>
        <v>2</v>
      </c>
      <c r="CP19" s="153">
        <v>2</v>
      </c>
      <c r="CQ19" s="28">
        <f>CO19*(22/7)/4*BU19^2</f>
        <v>265.57142857142856</v>
      </c>
      <c r="CR19" s="44" t="str">
        <f>IF(CL19&lt;=CQ19,"OK","NG")</f>
        <v>OK</v>
      </c>
      <c r="CS19" s="42">
        <f>(BO19-(2*BW19+2*BV19+CO19*BU19))/(CO19-1)</f>
        <v>158</v>
      </c>
      <c r="CT19" s="44" t="str">
        <f>IF(CS19&gt;= 25,"OK","NG")</f>
        <v>OK</v>
      </c>
      <c r="CV19" s="489"/>
      <c r="CW19" s="52" t="s">
        <v>194</v>
      </c>
      <c r="CX19" s="29">
        <v>1.5</v>
      </c>
      <c r="CY19" s="48">
        <f>O19</f>
        <v>400</v>
      </c>
      <c r="CZ19" s="49">
        <f>P19</f>
        <v>250</v>
      </c>
      <c r="DA19" s="50">
        <f>S19</f>
        <v>4.5314999999999994</v>
      </c>
      <c r="DB19" s="49">
        <v>0.6</v>
      </c>
      <c r="DC19" s="48">
        <f>$H$9</f>
        <v>240</v>
      </c>
      <c r="DD19" s="49">
        <f>1/6*SQRT($H$7)*CZ19*BS19*0.001</f>
        <v>72.916666666666657</v>
      </c>
      <c r="DE19" s="48">
        <f>DB19*DD19</f>
        <v>43.749999999999993</v>
      </c>
      <c r="DF19" s="51" t="str">
        <f>IF(DA19&lt;=DE19,"Tul. Gerser Praktis","Perlu Tul Geser")</f>
        <v>Tul. Gerser Praktis</v>
      </c>
      <c r="DG19" s="48"/>
      <c r="DH19" s="49"/>
      <c r="DI19" s="48"/>
      <c r="DJ19" s="49"/>
      <c r="DK19" s="48"/>
      <c r="DL19" s="49"/>
      <c r="DM19" s="52"/>
      <c r="DN19" s="49"/>
      <c r="DO19" s="48"/>
      <c r="DP19" s="49">
        <v>200</v>
      </c>
      <c r="DQ19" s="53" t="s">
        <v>323</v>
      </c>
      <c r="DR19" s="143">
        <f>$H$14</f>
        <v>8</v>
      </c>
      <c r="DS19" s="54" t="s">
        <v>41</v>
      </c>
      <c r="DT19" s="55">
        <f>DP19</f>
        <v>200</v>
      </c>
      <c r="DW19" s="454"/>
      <c r="DX19" s="44" t="s">
        <v>194</v>
      </c>
      <c r="DY19" s="106">
        <v>1.5</v>
      </c>
      <c r="DZ19" s="25">
        <f>O19</f>
        <v>400</v>
      </c>
      <c r="EA19" s="26">
        <f>P19</f>
        <v>250</v>
      </c>
      <c r="EB19" s="42">
        <f>$H$13</f>
        <v>13</v>
      </c>
      <c r="EC19" s="26">
        <f>$H$14</f>
        <v>8</v>
      </c>
      <c r="ED19" s="42">
        <f>$H$15</f>
        <v>25</v>
      </c>
      <c r="EE19" s="148">
        <f t="shared" si="0"/>
        <v>3</v>
      </c>
      <c r="EF19" s="34">
        <f>MAX(EE19,EG19)</f>
        <v>3</v>
      </c>
      <c r="EG19" s="153">
        <v>2</v>
      </c>
      <c r="EH19" s="160">
        <f t="shared" si="1"/>
        <v>2</v>
      </c>
      <c r="EI19" s="34">
        <f>MAX(EH19,EJ19)</f>
        <v>2</v>
      </c>
      <c r="EJ19" s="160">
        <v>2</v>
      </c>
      <c r="EK19" s="148">
        <f t="shared" si="2"/>
        <v>3</v>
      </c>
      <c r="EL19" s="34">
        <f>MAX(EK19,EM19)</f>
        <v>3</v>
      </c>
      <c r="EM19" s="153">
        <v>2</v>
      </c>
      <c r="EN19" s="160">
        <f t="shared" si="3"/>
        <v>2</v>
      </c>
      <c r="EO19" s="34">
        <f>MAX(EN19,EP19)</f>
        <v>2</v>
      </c>
      <c r="EP19" s="160">
        <v>2</v>
      </c>
      <c r="EQ19" s="53" t="s">
        <v>323</v>
      </c>
      <c r="ER19" s="143">
        <f>$H$14</f>
        <v>8</v>
      </c>
      <c r="ES19" s="54" t="s">
        <v>41</v>
      </c>
      <c r="ET19" s="55">
        <f>DT19</f>
        <v>200</v>
      </c>
      <c r="EU19" s="55"/>
      <c r="EV19" s="499"/>
    </row>
    <row r="20" spans="1:152" ht="12.75" customHeight="1" x14ac:dyDescent="0.25">
      <c r="L20" s="454"/>
      <c r="M20" s="80" t="s">
        <v>197</v>
      </c>
      <c r="N20" s="99"/>
      <c r="O20" s="56"/>
      <c r="P20" s="57"/>
      <c r="Q20" s="58"/>
      <c r="R20" s="59"/>
      <c r="S20" s="58"/>
      <c r="T20" s="57"/>
      <c r="U20" s="58"/>
      <c r="V20" s="59"/>
      <c r="W20" s="60"/>
      <c r="X20" s="128"/>
      <c r="Z20" s="489"/>
      <c r="AA20" s="18" t="s">
        <v>197</v>
      </c>
      <c r="AB20" s="19"/>
      <c r="AC20" s="30"/>
      <c r="AD20" s="31"/>
      <c r="AE20" s="34"/>
      <c r="AF20" s="31"/>
      <c r="AG20" s="34"/>
      <c r="AH20" s="31"/>
      <c r="AI20" s="34"/>
      <c r="AJ20" s="31"/>
      <c r="AK20" s="34"/>
      <c r="AL20" s="31"/>
      <c r="AM20" s="36"/>
      <c r="AN20" s="31"/>
      <c r="AO20" s="34"/>
      <c r="AP20" s="31"/>
      <c r="AQ20" s="34"/>
      <c r="AR20" s="31"/>
      <c r="AS20" s="36"/>
      <c r="AT20" s="151"/>
      <c r="AU20" s="34"/>
      <c r="AV20" s="156"/>
      <c r="AW20" s="36"/>
      <c r="AX20" s="40"/>
      <c r="AY20" s="36"/>
      <c r="AZ20" s="40"/>
      <c r="BA20" s="34"/>
      <c r="BB20" s="31"/>
      <c r="BC20" s="149"/>
      <c r="BD20" s="21"/>
      <c r="BE20" s="162"/>
      <c r="BF20" s="20"/>
      <c r="BG20" s="22"/>
      <c r="BH20" s="20"/>
      <c r="BI20" s="41"/>
      <c r="BJ20" s="3"/>
      <c r="BK20" s="489"/>
      <c r="BL20" s="18" t="s">
        <v>197</v>
      </c>
      <c r="BM20" s="19"/>
      <c r="BN20" s="57"/>
      <c r="BO20" s="3"/>
      <c r="BP20" s="57"/>
      <c r="BQ20" s="3"/>
      <c r="BR20" s="57"/>
      <c r="BS20" s="3"/>
      <c r="BT20" s="57"/>
      <c r="BU20" s="3"/>
      <c r="BV20" s="57"/>
      <c r="BW20" s="3"/>
      <c r="BX20" s="63"/>
      <c r="BY20" s="3"/>
      <c r="BZ20" s="57"/>
      <c r="CA20" s="3"/>
      <c r="CB20" s="57"/>
      <c r="CC20" s="3"/>
      <c r="CD20" s="63"/>
      <c r="CE20" s="166"/>
      <c r="CF20" s="21"/>
      <c r="CG20" s="162"/>
      <c r="CH20" s="63"/>
      <c r="CI20" s="64"/>
      <c r="CJ20" s="63"/>
      <c r="CK20" s="64"/>
      <c r="CL20" s="57"/>
      <c r="CM20" s="3"/>
      <c r="CN20" s="148"/>
      <c r="CO20" s="21"/>
      <c r="CP20" s="154"/>
      <c r="CQ20" s="3"/>
      <c r="CR20" s="63"/>
      <c r="CS20" s="3"/>
      <c r="CT20" s="63"/>
      <c r="CV20" s="489"/>
      <c r="CW20" s="18" t="s">
        <v>197</v>
      </c>
      <c r="CX20" s="19"/>
      <c r="CY20" s="31"/>
      <c r="CZ20" s="34"/>
      <c r="DA20" s="31"/>
      <c r="DB20" s="34"/>
      <c r="DC20" s="31"/>
      <c r="DD20" s="34"/>
      <c r="DE20" s="31"/>
      <c r="DF20" s="36"/>
      <c r="DG20" s="31"/>
      <c r="DH20" s="34"/>
      <c r="DI20" s="31"/>
      <c r="DJ20" s="34"/>
      <c r="DK20" s="31"/>
      <c r="DL20" s="34"/>
      <c r="DM20" s="40"/>
      <c r="DN20" s="34"/>
      <c r="DO20" s="31"/>
      <c r="DP20" s="34"/>
      <c r="DQ20" s="75"/>
      <c r="DR20" s="115"/>
      <c r="DS20" s="131"/>
      <c r="DT20" s="77"/>
      <c r="DW20" s="454"/>
      <c r="DX20" s="80" t="s">
        <v>197</v>
      </c>
      <c r="DY20" s="99"/>
      <c r="DZ20" s="56"/>
      <c r="EA20" s="57"/>
      <c r="EB20" s="3"/>
      <c r="EC20" s="57"/>
      <c r="ED20" s="3"/>
      <c r="EE20" s="149">
        <f t="shared" si="0"/>
        <v>0</v>
      </c>
      <c r="EF20" s="21"/>
      <c r="EG20" s="168"/>
      <c r="EH20" s="162">
        <f t="shared" si="1"/>
        <v>0</v>
      </c>
      <c r="EI20" s="21"/>
      <c r="EJ20" s="162"/>
      <c r="EK20" s="149">
        <f t="shared" si="2"/>
        <v>0</v>
      </c>
      <c r="EL20" s="21"/>
      <c r="EM20" s="168"/>
      <c r="EN20" s="162">
        <f t="shared" si="3"/>
        <v>0</v>
      </c>
      <c r="EO20" s="21"/>
      <c r="EP20" s="154"/>
      <c r="EQ20" s="75"/>
      <c r="ER20" s="115"/>
      <c r="ES20" s="131"/>
      <c r="ET20" s="77"/>
      <c r="EU20" s="77"/>
      <c r="EV20" s="499" t="s">
        <v>397</v>
      </c>
    </row>
    <row r="21" spans="1:152" x14ac:dyDescent="0.25">
      <c r="A21" s="125" t="s">
        <v>262</v>
      </c>
      <c r="L21" s="454"/>
      <c r="M21" s="44" t="s">
        <v>194</v>
      </c>
      <c r="N21" s="106">
        <v>3.5</v>
      </c>
      <c r="O21" s="25">
        <f>'QE &amp; MOMEN'!S32*1000</f>
        <v>400</v>
      </c>
      <c r="P21" s="26">
        <f>'QE &amp; MOMEN'!V32*1000</f>
        <v>250</v>
      </c>
      <c r="Q21" s="27">
        <f>'QE &amp; MOMEN'!AA32</f>
        <v>28.782833333333336</v>
      </c>
      <c r="R21" s="24">
        <f>'QE &amp; MOMEN'!AA32</f>
        <v>28.782833333333336</v>
      </c>
      <c r="S21" s="27">
        <f>'QE &amp; MOMEN'!AB32</f>
        <v>49.342000000000006</v>
      </c>
      <c r="T21" s="26">
        <f>$H$4</f>
        <v>0.85</v>
      </c>
      <c r="U21" s="27">
        <f>T21*0.85*$H$7/$H$8*600/(600+$H$8)</f>
        <v>2.7093749999999993E-2</v>
      </c>
      <c r="V21" s="24">
        <f>0.75*U21*$H$8*(1-(0.5*0.75*U21*$H$8/(0.85*$H$7)))</f>
        <v>6.5736210937499981</v>
      </c>
      <c r="W21" s="28">
        <f>$H$27</f>
        <v>0.8</v>
      </c>
      <c r="X21" s="128"/>
      <c r="Z21" s="489"/>
      <c r="AA21" s="52" t="s">
        <v>194</v>
      </c>
      <c r="AB21" s="29">
        <v>3.5</v>
      </c>
      <c r="AC21" s="30">
        <f>O21</f>
        <v>400</v>
      </c>
      <c r="AD21" s="31">
        <f>P21</f>
        <v>250</v>
      </c>
      <c r="AE21" s="32">
        <f>Q21</f>
        <v>28.782833333333336</v>
      </c>
      <c r="AF21" s="33">
        <f>AE21/W21</f>
        <v>35.978541666666665</v>
      </c>
      <c r="AG21" s="34">
        <v>50</v>
      </c>
      <c r="AH21" s="31">
        <f>AC21-AG21</f>
        <v>350</v>
      </c>
      <c r="AI21" s="35">
        <f>AF21*10^6/(AD21*AH21^2)</f>
        <v>1.1748095238095237</v>
      </c>
      <c r="AJ21" s="31">
        <f>$H$13</f>
        <v>13</v>
      </c>
      <c r="AK21" s="34">
        <f>$H$14</f>
        <v>8</v>
      </c>
      <c r="AL21" s="31">
        <f>$H$15</f>
        <v>25</v>
      </c>
      <c r="AM21" s="36" t="str">
        <f>IF(AI21&lt;=V21,"OK","NG")</f>
        <v>OK</v>
      </c>
      <c r="AN21" s="37">
        <f>0.85*($H$7/$H$8)*(1-(SQRT(1-2*AI21/(0.85*$H$7))))</f>
        <v>3.0230355151806896E-3</v>
      </c>
      <c r="AO21" s="38">
        <f>1.4/$H$8</f>
        <v>3.4999999999999996E-3</v>
      </c>
      <c r="AP21" s="37">
        <f>0.5*U21</f>
        <v>1.3546874999999996E-2</v>
      </c>
      <c r="AQ21" s="38">
        <f>MAX(AN21:AO21)</f>
        <v>3.4999999999999996E-3</v>
      </c>
      <c r="AR21" s="33">
        <f>AQ21*AD21*AH21</f>
        <v>306.24999999999994</v>
      </c>
      <c r="AS21" s="35">
        <f>AR21/((22/7)/4*AJ21^2)</f>
        <v>2.3063474986551906</v>
      </c>
      <c r="AT21" s="148">
        <f>ROUNDUP(AS21,0)</f>
        <v>3</v>
      </c>
      <c r="AU21" s="49">
        <f>MAX(AT21,AV21)</f>
        <v>3</v>
      </c>
      <c r="AV21" s="153">
        <v>2</v>
      </c>
      <c r="AW21" s="39">
        <f>AU21*(22/7)/4*AJ21^2</f>
        <v>398.35714285714289</v>
      </c>
      <c r="AX21" s="40" t="str">
        <f>IF(AR21&lt;=AW21,"OK","NG")</f>
        <v>OK</v>
      </c>
      <c r="AY21" s="34">
        <f>(AD21-(2*AL21+2*AK21+AU21*AJ21))/(AU21-1)</f>
        <v>72.5</v>
      </c>
      <c r="AZ21" s="40" t="str">
        <f>IF(AY21&gt;= 25,"OK","NG")</f>
        <v>OK</v>
      </c>
      <c r="BA21" s="34">
        <f>AR21/2</f>
        <v>153.12499999999997</v>
      </c>
      <c r="BB21" s="33">
        <f>BA21/((22/7)/4*AJ21^2)</f>
        <v>1.1531737493275953</v>
      </c>
      <c r="BC21" s="148">
        <f>ROUNDUP(BB21,0)</f>
        <v>2</v>
      </c>
      <c r="BD21" s="34">
        <f>MAX(BC21,BE21)</f>
        <v>2</v>
      </c>
      <c r="BE21" s="160">
        <v>2</v>
      </c>
      <c r="BF21" s="33">
        <f>BD21*(22/7)/4*AJ21^2</f>
        <v>265.57142857142856</v>
      </c>
      <c r="BG21" s="36" t="str">
        <f>IF(BA21&lt;=BF21,"OK","NG")</f>
        <v>OK</v>
      </c>
      <c r="BH21" s="31">
        <f>(AD21-(2*AL21+2*AK21+BD21*AJ21))/(BD21-1)</f>
        <v>158</v>
      </c>
      <c r="BI21" s="41" t="str">
        <f>IF(BH21&gt;= 25,"OK","NG")</f>
        <v>OK</v>
      </c>
      <c r="BJ21" s="3"/>
      <c r="BK21" s="489"/>
      <c r="BL21" s="52" t="s">
        <v>194</v>
      </c>
      <c r="BM21" s="29">
        <v>3.5</v>
      </c>
      <c r="BN21" s="57">
        <f>O21</f>
        <v>400</v>
      </c>
      <c r="BO21" s="3">
        <f>P21</f>
        <v>250</v>
      </c>
      <c r="BP21" s="59">
        <f>R21</f>
        <v>28.782833333333336</v>
      </c>
      <c r="BQ21" s="60">
        <f>BP21/W21</f>
        <v>35.978541666666665</v>
      </c>
      <c r="BR21" s="57">
        <v>50</v>
      </c>
      <c r="BS21" s="3">
        <f>BN21-BR21</f>
        <v>350</v>
      </c>
      <c r="BT21" s="71">
        <f>BQ21*10^6/(BO21*BS21^2)</f>
        <v>1.1748095238095237</v>
      </c>
      <c r="BU21" s="3">
        <f>$H$13</f>
        <v>13</v>
      </c>
      <c r="BV21" s="57">
        <f>$H$14</f>
        <v>8</v>
      </c>
      <c r="BW21" s="3">
        <f>$H$15</f>
        <v>25</v>
      </c>
      <c r="BX21" s="63" t="str">
        <f>IF(BT21&lt;=V21,"OK","NG")</f>
        <v>OK</v>
      </c>
      <c r="BY21" s="72">
        <f>0.85*($H$7/$H$8)*(1-(SQRT(1-2*BT21/(0.85*$H$7))))</f>
        <v>3.0230355151806896E-3</v>
      </c>
      <c r="BZ21" s="73">
        <f>1.4/$H$8</f>
        <v>3.4999999999999996E-3</v>
      </c>
      <c r="CA21" s="72">
        <f>0.5*U21</f>
        <v>1.3546874999999996E-2</v>
      </c>
      <c r="CB21" s="73">
        <f>MAX(BY21:BZ21)</f>
        <v>3.4999999999999996E-3</v>
      </c>
      <c r="CC21" s="60">
        <f>CB21*BO21*BS21</f>
        <v>306.24999999999994</v>
      </c>
      <c r="CD21" s="71">
        <f>CC21/((22/7)/4*BU21^2)</f>
        <v>2.3063474986551906</v>
      </c>
      <c r="CE21" s="160">
        <f>ROUNDUP(CD21,0)</f>
        <v>3</v>
      </c>
      <c r="CF21" s="34">
        <f>MAX(CE21,CG21)</f>
        <v>3</v>
      </c>
      <c r="CG21" s="160">
        <v>2</v>
      </c>
      <c r="CH21" s="43">
        <f>CF21*(22/7)/4*BU21^2</f>
        <v>398.35714285714289</v>
      </c>
      <c r="CI21" s="47" t="str">
        <f>IF(CC21&lt;=CH21,"OK","NG")</f>
        <v>OK</v>
      </c>
      <c r="CJ21" s="26">
        <f>(BO21-(2*BW21+2*BV21+CF21*BU21))/(CF21-1)</f>
        <v>72.5</v>
      </c>
      <c r="CK21" s="47" t="str">
        <f>IF(CJ21&gt;= 25,"OK","NG")</f>
        <v>OK</v>
      </c>
      <c r="CL21" s="26">
        <f>CC21/2</f>
        <v>153.12499999999997</v>
      </c>
      <c r="CM21" s="28">
        <f>CL21/((22/7)/4*BU21^2)</f>
        <v>1.1531737493275953</v>
      </c>
      <c r="CN21" s="150">
        <f>ROUNDUP(CM21,0)</f>
        <v>2</v>
      </c>
      <c r="CO21" s="34">
        <f>MAX(CN21,CP21)</f>
        <v>2</v>
      </c>
      <c r="CP21" s="153">
        <v>2</v>
      </c>
      <c r="CQ21" s="28">
        <f>CO21*(22/7)/4*BU21^2</f>
        <v>265.57142857142856</v>
      </c>
      <c r="CR21" s="44" t="str">
        <f>IF(CL21&lt;=CQ21,"OK","NG")</f>
        <v>OK</v>
      </c>
      <c r="CS21" s="42">
        <f>(BO21-(2*BW21+2*BV21+CO21*BU21))/(CO21-1)</f>
        <v>158</v>
      </c>
      <c r="CT21" s="63" t="str">
        <f>IF(CS21&gt;= 25,"OK","NG")</f>
        <v>OK</v>
      </c>
      <c r="CV21" s="489"/>
      <c r="CW21" s="52" t="s">
        <v>194</v>
      </c>
      <c r="CX21" s="29">
        <v>3.5</v>
      </c>
      <c r="CY21" s="31">
        <f>O21</f>
        <v>400</v>
      </c>
      <c r="CZ21" s="34">
        <f>P21</f>
        <v>250</v>
      </c>
      <c r="DA21" s="74">
        <f>S21</f>
        <v>49.342000000000006</v>
      </c>
      <c r="DB21" s="34">
        <v>0.6</v>
      </c>
      <c r="DC21" s="31">
        <f>$H$9</f>
        <v>240</v>
      </c>
      <c r="DD21" s="34">
        <f>1/6*SQRT($H$7)*CZ21*BS21*0.001</f>
        <v>72.916666666666657</v>
      </c>
      <c r="DE21" s="31">
        <f>DB21*DD21</f>
        <v>43.749999999999993</v>
      </c>
      <c r="DF21" s="36" t="str">
        <f>IF(DA21&lt;=DE21,"Tul. Gerser Praktis","Perlu Tul Geser")</f>
        <v>Perlu Tul Geser</v>
      </c>
      <c r="DG21" s="74">
        <f>DA21-DE21</f>
        <v>5.592000000000013</v>
      </c>
      <c r="DH21" s="34">
        <f>DG21/DB21</f>
        <v>9.3200000000000216</v>
      </c>
      <c r="DI21" s="31">
        <v>1</v>
      </c>
      <c r="DJ21" s="34">
        <f>$AK$11</f>
        <v>8</v>
      </c>
      <c r="DK21" s="31">
        <f>DI21*((22/7)/4)*DJ21^2</f>
        <v>50.285714285714285</v>
      </c>
      <c r="DL21" s="34">
        <f>DK21*DC19*BS21/(DH21*10^3)</f>
        <v>453.21888412017063</v>
      </c>
      <c r="DM21" s="40" t="str">
        <f>IF(DH21&lt;(1/3*SQRT($H$7)*CZ21*BS21),"1/2 D - 600","1/4D - 300")</f>
        <v>1/2 D - 600</v>
      </c>
      <c r="DN21" s="34">
        <f>1/2*AH21</f>
        <v>175</v>
      </c>
      <c r="DO21" s="31">
        <v>600</v>
      </c>
      <c r="DP21" s="34">
        <f>MIN(DL21,DN21,DO21)</f>
        <v>175</v>
      </c>
      <c r="DQ21" s="75" t="s">
        <v>323</v>
      </c>
      <c r="DR21" s="115">
        <f>$H$14</f>
        <v>8</v>
      </c>
      <c r="DS21" s="76" t="s">
        <v>41</v>
      </c>
      <c r="DT21" s="77">
        <f>DP21</f>
        <v>175</v>
      </c>
      <c r="DW21" s="454"/>
      <c r="DX21" s="44" t="s">
        <v>194</v>
      </c>
      <c r="DY21" s="106">
        <v>3.5</v>
      </c>
      <c r="DZ21" s="25">
        <f>O21</f>
        <v>400</v>
      </c>
      <c r="EA21" s="26">
        <f>P21</f>
        <v>250</v>
      </c>
      <c r="EB21" s="3">
        <f>$H$13</f>
        <v>13</v>
      </c>
      <c r="EC21" s="57">
        <f>$H$14</f>
        <v>8</v>
      </c>
      <c r="ED21" s="3">
        <f>$H$15</f>
        <v>25</v>
      </c>
      <c r="EE21" s="150">
        <f t="shared" si="0"/>
        <v>3</v>
      </c>
      <c r="EF21" s="49">
        <f>MAX(EE21,EG21)</f>
        <v>3</v>
      </c>
      <c r="EG21" s="155">
        <v>2</v>
      </c>
      <c r="EH21" s="163">
        <f t="shared" si="1"/>
        <v>2</v>
      </c>
      <c r="EI21" s="49">
        <f>MAX(EH21,EJ21)</f>
        <v>2</v>
      </c>
      <c r="EJ21" s="163">
        <v>2</v>
      </c>
      <c r="EK21" s="150">
        <f t="shared" si="2"/>
        <v>3</v>
      </c>
      <c r="EL21" s="49">
        <f>MAX(EK21,EM21)</f>
        <v>3</v>
      </c>
      <c r="EM21" s="155">
        <v>2</v>
      </c>
      <c r="EN21" s="163">
        <f t="shared" si="3"/>
        <v>2</v>
      </c>
      <c r="EO21" s="49">
        <f>MAX(EN21,EP21)</f>
        <v>2</v>
      </c>
      <c r="EP21" s="155">
        <v>2</v>
      </c>
      <c r="EQ21" s="75" t="s">
        <v>323</v>
      </c>
      <c r="ER21" s="115">
        <f>$H$14</f>
        <v>8</v>
      </c>
      <c r="ES21" s="76" t="s">
        <v>41</v>
      </c>
      <c r="ET21" s="55">
        <f>DT21</f>
        <v>175</v>
      </c>
      <c r="EU21" s="55"/>
      <c r="EV21" s="499"/>
    </row>
    <row r="22" spans="1:152" x14ac:dyDescent="0.25">
      <c r="L22" s="454"/>
      <c r="M22" s="11" t="s">
        <v>205</v>
      </c>
      <c r="N22" s="245"/>
      <c r="O22" s="280"/>
      <c r="P22" s="281"/>
      <c r="Q22" s="282"/>
      <c r="R22" s="283"/>
      <c r="S22" s="282"/>
      <c r="T22" s="281"/>
      <c r="U22" s="282"/>
      <c r="V22" s="283"/>
      <c r="W22" s="284"/>
      <c r="X22" s="128"/>
      <c r="Z22" s="489"/>
      <c r="AA22" s="285" t="s">
        <v>205</v>
      </c>
      <c r="AB22" s="286"/>
      <c r="AC22" s="287"/>
      <c r="AD22" s="288"/>
      <c r="AE22" s="289"/>
      <c r="AF22" s="288"/>
      <c r="AG22" s="289"/>
      <c r="AH22" s="288"/>
      <c r="AI22" s="289"/>
      <c r="AJ22" s="288"/>
      <c r="AK22" s="289"/>
      <c r="AL22" s="288"/>
      <c r="AM22" s="290"/>
      <c r="AN22" s="288"/>
      <c r="AO22" s="289"/>
      <c r="AP22" s="288"/>
      <c r="AQ22" s="289"/>
      <c r="AR22" s="288"/>
      <c r="AS22" s="289"/>
      <c r="AT22" s="291"/>
      <c r="AU22" s="292"/>
      <c r="AV22" s="293"/>
      <c r="AW22" s="289"/>
      <c r="AX22" s="285"/>
      <c r="AY22" s="289"/>
      <c r="AZ22" s="285"/>
      <c r="BA22" s="289"/>
      <c r="BB22" s="288"/>
      <c r="BC22" s="291"/>
      <c r="BD22" s="289"/>
      <c r="BE22" s="294"/>
      <c r="BF22" s="288"/>
      <c r="BG22" s="290"/>
      <c r="BH22" s="288"/>
      <c r="BI22" s="295"/>
      <c r="BJ22" s="3"/>
      <c r="BK22" s="489"/>
      <c r="BL22" s="285" t="s">
        <v>205</v>
      </c>
      <c r="BM22" s="286"/>
      <c r="BN22" s="311"/>
      <c r="BO22" s="312"/>
      <c r="BP22" s="311"/>
      <c r="BQ22" s="312"/>
      <c r="BR22" s="311"/>
      <c r="BS22" s="312"/>
      <c r="BT22" s="311"/>
      <c r="BU22" s="312"/>
      <c r="BV22" s="311"/>
      <c r="BW22" s="312"/>
      <c r="BX22" s="313"/>
      <c r="BY22" s="312"/>
      <c r="BZ22" s="311"/>
      <c r="CA22" s="312"/>
      <c r="CB22" s="311"/>
      <c r="CC22" s="312"/>
      <c r="CD22" s="311"/>
      <c r="CE22" s="294"/>
      <c r="CF22" s="289"/>
      <c r="CG22" s="294"/>
      <c r="CH22" s="311"/>
      <c r="CI22" s="314"/>
      <c r="CJ22" s="311"/>
      <c r="CK22" s="314"/>
      <c r="CL22" s="311"/>
      <c r="CM22" s="312"/>
      <c r="CN22" s="291"/>
      <c r="CO22" s="289"/>
      <c r="CP22" s="293"/>
      <c r="CQ22" s="312"/>
      <c r="CR22" s="313"/>
      <c r="CS22" s="312"/>
      <c r="CT22" s="313"/>
      <c r="CV22" s="489"/>
      <c r="CW22" s="285" t="s">
        <v>205</v>
      </c>
      <c r="CX22" s="286"/>
      <c r="CY22" s="288"/>
      <c r="CZ22" s="289"/>
      <c r="DA22" s="288"/>
      <c r="DB22" s="289"/>
      <c r="DC22" s="288"/>
      <c r="DD22" s="289"/>
      <c r="DE22" s="288"/>
      <c r="DF22" s="290"/>
      <c r="DG22" s="288"/>
      <c r="DH22" s="289"/>
      <c r="DI22" s="288"/>
      <c r="DJ22" s="289"/>
      <c r="DK22" s="288"/>
      <c r="DL22" s="289"/>
      <c r="DM22" s="285"/>
      <c r="DN22" s="289"/>
      <c r="DO22" s="288"/>
      <c r="DP22" s="289"/>
      <c r="DQ22" s="322"/>
      <c r="DR22" s="323"/>
      <c r="DS22" s="324"/>
      <c r="DT22" s="325"/>
      <c r="DW22" s="454"/>
      <c r="DX22" s="11" t="s">
        <v>205</v>
      </c>
      <c r="DY22" s="245"/>
      <c r="DZ22" s="280"/>
      <c r="EA22" s="281"/>
      <c r="EB22" s="312"/>
      <c r="EC22" s="311"/>
      <c r="ED22" s="312"/>
      <c r="EE22" s="334">
        <f t="shared" si="0"/>
        <v>0</v>
      </c>
      <c r="EF22" s="292"/>
      <c r="EG22" s="335"/>
      <c r="EH22" s="336">
        <f t="shared" si="1"/>
        <v>0</v>
      </c>
      <c r="EI22" s="292"/>
      <c r="EJ22" s="336"/>
      <c r="EK22" s="334">
        <f t="shared" si="2"/>
        <v>0</v>
      </c>
      <c r="EL22" s="292"/>
      <c r="EM22" s="335"/>
      <c r="EN22" s="336">
        <f t="shared" si="3"/>
        <v>0</v>
      </c>
      <c r="EO22" s="292"/>
      <c r="EP22" s="336"/>
      <c r="EQ22" s="322"/>
      <c r="ER22" s="323"/>
      <c r="ES22" s="324"/>
      <c r="ET22" s="325"/>
      <c r="EU22" s="325"/>
      <c r="EV22" s="500" t="s">
        <v>362</v>
      </c>
    </row>
    <row r="23" spans="1:152" x14ac:dyDescent="0.25">
      <c r="A23" s="112" t="s">
        <v>99</v>
      </c>
      <c r="G23" s="134"/>
      <c r="L23" s="455"/>
      <c r="M23" s="14" t="s">
        <v>194</v>
      </c>
      <c r="N23" s="244">
        <v>4</v>
      </c>
      <c r="O23" s="280">
        <f>'QE &amp; MOMEN'!S34*1000</f>
        <v>400</v>
      </c>
      <c r="P23" s="281">
        <f>'QE &amp; MOMEN'!V34*1000</f>
        <v>250</v>
      </c>
      <c r="Q23" s="282">
        <f>'QE &amp; MOMEN'!BC22</f>
        <v>9.9128985339881694</v>
      </c>
      <c r="R23" s="283">
        <f>'QE &amp; MOMEN'!BB22</f>
        <v>67.657157662760426</v>
      </c>
      <c r="S23" s="282">
        <f>'QE &amp; MOMEN'!BF22</f>
        <v>71.63474971354168</v>
      </c>
      <c r="T23" s="281">
        <f>$H$4</f>
        <v>0.85</v>
      </c>
      <c r="U23" s="282">
        <f>T23*0.85*$H$7/$H$8*600/(600+$H$8)</f>
        <v>2.7093749999999993E-2</v>
      </c>
      <c r="V23" s="283">
        <f>0.75*U23*$H$8*(1-(0.5*0.75*U23*$H$8/(0.85*$H$7)))</f>
        <v>6.5736210937499981</v>
      </c>
      <c r="W23" s="284">
        <f>$H$27</f>
        <v>0.8</v>
      </c>
      <c r="X23" s="128"/>
      <c r="Z23" s="490"/>
      <c r="AA23" s="296" t="s">
        <v>194</v>
      </c>
      <c r="AB23" s="297">
        <v>4</v>
      </c>
      <c r="AC23" s="298">
        <f>O23</f>
        <v>400</v>
      </c>
      <c r="AD23" s="299">
        <f>P23</f>
        <v>250</v>
      </c>
      <c r="AE23" s="300">
        <f>Q23</f>
        <v>9.9128985339881694</v>
      </c>
      <c r="AF23" s="301">
        <f>AE23/W23</f>
        <v>12.391123167485212</v>
      </c>
      <c r="AG23" s="302">
        <v>50</v>
      </c>
      <c r="AH23" s="299">
        <f>AC23-AG23</f>
        <v>350</v>
      </c>
      <c r="AI23" s="303">
        <f>AF23*1000000/(AD23*AH23^2)</f>
        <v>0.40460810342808851</v>
      </c>
      <c r="AJ23" s="299">
        <f>$H$13</f>
        <v>13</v>
      </c>
      <c r="AK23" s="302">
        <f>$H$14</f>
        <v>8</v>
      </c>
      <c r="AL23" s="299">
        <f>$H$15</f>
        <v>25</v>
      </c>
      <c r="AM23" s="304" t="str">
        <f>IF(AI23&lt;=V23,"OK","NG")</f>
        <v>OK</v>
      </c>
      <c r="AN23" s="305">
        <f>0.85*($H$7/$H$8)*(1-(SQRT(1-2*AI23/(0.85*$H$7))))</f>
        <v>1.021337964333887E-3</v>
      </c>
      <c r="AO23" s="306">
        <f>1.4/$H$8</f>
        <v>3.4999999999999996E-3</v>
      </c>
      <c r="AP23" s="305">
        <f>0.5*U23</f>
        <v>1.3546874999999996E-2</v>
      </c>
      <c r="AQ23" s="306">
        <f>MAX(AN23:AO23)</f>
        <v>3.4999999999999996E-3</v>
      </c>
      <c r="AR23" s="301">
        <f>AQ23*AD23*AH23</f>
        <v>306.24999999999994</v>
      </c>
      <c r="AS23" s="303">
        <f>AR23/((22/7)/4*AJ23^2)</f>
        <v>2.3063474986551906</v>
      </c>
      <c r="AT23" s="307">
        <f>ROUNDUP(AS23,0)</f>
        <v>3</v>
      </c>
      <c r="AU23" s="339">
        <f>MAX(AT23,AV23)</f>
        <v>3</v>
      </c>
      <c r="AV23" s="308">
        <v>2</v>
      </c>
      <c r="AW23" s="303">
        <f>AU23*(22/7)/4*AJ23^2</f>
        <v>398.35714285714289</v>
      </c>
      <c r="AX23" s="296" t="str">
        <f>IF(AR23&lt;=AW23,"OK","NG")</f>
        <v>OK</v>
      </c>
      <c r="AY23" s="299">
        <f>(AD23-(2*AL23+2*AK23+AU23*AJ23))/(AU23-1)</f>
        <v>72.5</v>
      </c>
      <c r="AZ23" s="296" t="str">
        <f>IF(AY23&gt;= 25,"OK","NG")</f>
        <v>OK</v>
      </c>
      <c r="BA23" s="302">
        <f>AR23/2</f>
        <v>153.12499999999997</v>
      </c>
      <c r="BB23" s="301">
        <f>BA23/((22/7)/4*AJ23^2)</f>
        <v>1.1531737493275953</v>
      </c>
      <c r="BC23" s="307">
        <f>ROUNDUP(BB23,0)</f>
        <v>2</v>
      </c>
      <c r="BD23" s="339">
        <f>MAX(BC23,BE23)</f>
        <v>2</v>
      </c>
      <c r="BE23" s="309">
        <v>2</v>
      </c>
      <c r="BF23" s="301">
        <f>BD23*(22/7)/4*AJ23^2</f>
        <v>265.57142857142856</v>
      </c>
      <c r="BG23" s="304" t="str">
        <f>IF(BA23&lt;=BF23,"OK","NG")</f>
        <v>OK</v>
      </c>
      <c r="BH23" s="299">
        <f>(AD23-(2*AL23+2*AK23+BD23*AJ23))/(BD23-1)</f>
        <v>158</v>
      </c>
      <c r="BI23" s="310" t="str">
        <f>IF(BH23&gt;= 25,"OK","NG")</f>
        <v>OK</v>
      </c>
      <c r="BJ23" s="3"/>
      <c r="BK23" s="490"/>
      <c r="BL23" s="296" t="s">
        <v>194</v>
      </c>
      <c r="BM23" s="297">
        <v>4</v>
      </c>
      <c r="BN23" s="315">
        <f>O23</f>
        <v>400</v>
      </c>
      <c r="BO23" s="316">
        <f>P23</f>
        <v>250</v>
      </c>
      <c r="BP23" s="317">
        <f>R23</f>
        <v>67.657157662760426</v>
      </c>
      <c r="BQ23" s="318">
        <f>BP23/W23</f>
        <v>84.571447078450532</v>
      </c>
      <c r="BR23" s="315">
        <v>50</v>
      </c>
      <c r="BS23" s="316">
        <f>BN23-BR23</f>
        <v>350</v>
      </c>
      <c r="BT23" s="319">
        <f>BQ23*10^6/(BO23*BS23^2)</f>
        <v>2.7615166392963437</v>
      </c>
      <c r="BU23" s="316">
        <f>$H$13</f>
        <v>13</v>
      </c>
      <c r="BV23" s="315">
        <f>$H$14</f>
        <v>8</v>
      </c>
      <c r="BW23" s="316">
        <f>$H$15</f>
        <v>25</v>
      </c>
      <c r="BX23" s="14" t="str">
        <f>IF(BT23&lt;=V23,"OK","NG")</f>
        <v>OK</v>
      </c>
      <c r="BY23" s="320">
        <f>0.85*($H$7/$H$8)*(1-(SQRT(1-2*BT23/(0.85*$H$7))))</f>
        <v>7.4222892741917451E-3</v>
      </c>
      <c r="BZ23" s="321">
        <f>1.4/$H$8</f>
        <v>3.4999999999999996E-3</v>
      </c>
      <c r="CA23" s="320">
        <f>0.5*U23</f>
        <v>1.3546874999999996E-2</v>
      </c>
      <c r="CB23" s="321">
        <f>MAX(BY23:BZ23)</f>
        <v>7.4222892741917451E-3</v>
      </c>
      <c r="CC23" s="318">
        <f>CB23*BO23*BS23</f>
        <v>649.45031149177771</v>
      </c>
      <c r="CD23" s="319">
        <f>CC23/((22/7)/4*BU23^2)</f>
        <v>4.8909652290935384</v>
      </c>
      <c r="CE23" s="309">
        <f>ROUNDUP(CD23,0)</f>
        <v>5</v>
      </c>
      <c r="CF23" s="302">
        <f>MAX(CE23,CG23)</f>
        <v>5</v>
      </c>
      <c r="CG23" s="309">
        <v>2</v>
      </c>
      <c r="CH23" s="319">
        <f>CF23*(22/7)/4*BU23^2</f>
        <v>663.92857142857144</v>
      </c>
      <c r="CI23" s="121" t="str">
        <f>IF(CC23&lt;=CH23,"OK","NG")</f>
        <v>OK</v>
      </c>
      <c r="CJ23" s="315">
        <f>(BO23-(2*BW23+2*BV23+CF23*BU23))/(CF23-1)</f>
        <v>29.75</v>
      </c>
      <c r="CK23" s="121" t="str">
        <f>IF(CJ23&gt;= 25,"OK","NG")</f>
        <v>OK</v>
      </c>
      <c r="CL23" s="315">
        <f>CC23/2</f>
        <v>324.72515574588886</v>
      </c>
      <c r="CM23" s="318">
        <f>CL23/((22/7)/4*BU23^2)</f>
        <v>2.4454826145467692</v>
      </c>
      <c r="CN23" s="307">
        <f>ROUNDUP(CM23,0)</f>
        <v>3</v>
      </c>
      <c r="CO23" s="302">
        <f>MAX(CN23,CP23)</f>
        <v>3</v>
      </c>
      <c r="CP23" s="308">
        <v>2</v>
      </c>
      <c r="CQ23" s="318">
        <f>CO23*(22/7)/4*BU23^2</f>
        <v>398.35714285714289</v>
      </c>
      <c r="CR23" s="14" t="str">
        <f>IF(CL23&lt;=CQ23,"OK","NG")</f>
        <v>OK</v>
      </c>
      <c r="CS23" s="316">
        <f>(BO23-(2*BW23+2*BV23+CO23*BU23))/(CO23-1)</f>
        <v>72.5</v>
      </c>
      <c r="CT23" s="14" t="str">
        <f>IF(CS23&gt;= 25,"OK","NG")</f>
        <v>OK</v>
      </c>
      <c r="CV23" s="490"/>
      <c r="CW23" s="296" t="s">
        <v>194</v>
      </c>
      <c r="CX23" s="297">
        <v>4</v>
      </c>
      <c r="CY23" s="299">
        <f>O23</f>
        <v>400</v>
      </c>
      <c r="CZ23" s="302">
        <f>P23</f>
        <v>250</v>
      </c>
      <c r="DA23" s="326">
        <f>S23</f>
        <v>71.63474971354168</v>
      </c>
      <c r="DB23" s="302">
        <v>0.6</v>
      </c>
      <c r="DC23" s="299">
        <f>$H$9</f>
        <v>240</v>
      </c>
      <c r="DD23" s="302">
        <f>1/6*SQRT($H$7)*CZ23*BS23*0.001</f>
        <v>72.916666666666657</v>
      </c>
      <c r="DE23" s="299">
        <f>DB23*DD23</f>
        <v>43.749999999999993</v>
      </c>
      <c r="DF23" s="304" t="str">
        <f>IF(DA23&lt;=DE23,"Tul. Gerser Praktis","Perlu Tul Geser")</f>
        <v>Perlu Tul Geser</v>
      </c>
      <c r="DG23" s="326">
        <f>DA23-DE23</f>
        <v>27.884749713541687</v>
      </c>
      <c r="DH23" s="302">
        <f>DG23/DB23</f>
        <v>46.474582855902817</v>
      </c>
      <c r="DI23" s="299">
        <v>1</v>
      </c>
      <c r="DJ23" s="302">
        <f>$AK$11</f>
        <v>8</v>
      </c>
      <c r="DK23" s="299">
        <f>DI23*((22/7)/4)*DJ23^2</f>
        <v>50.285714285714285</v>
      </c>
      <c r="DL23" s="302">
        <f>DK23*DC21*BS23/(DH23*10^3)</f>
        <v>90.888389748365483</v>
      </c>
      <c r="DM23" s="296" t="str">
        <f>IF(DH23&lt;(1/3*SQRT($H$7)*CZ23*BS23),"1/2 D - 600","1/4D - 300")</f>
        <v>1/2 D - 600</v>
      </c>
      <c r="DN23" s="302">
        <f>1/2*AH23</f>
        <v>175</v>
      </c>
      <c r="DO23" s="299">
        <v>600</v>
      </c>
      <c r="DP23" s="327">
        <f>MIN(DL23,DN23,DO23)</f>
        <v>90.888389748365483</v>
      </c>
      <c r="DQ23" s="328" t="s">
        <v>323</v>
      </c>
      <c r="DR23" s="329">
        <f>$H$14</f>
        <v>8</v>
      </c>
      <c r="DS23" s="330" t="s">
        <v>41</v>
      </c>
      <c r="DT23" s="331">
        <f>ROUNDDOWN(DP23,-1)</f>
        <v>90</v>
      </c>
      <c r="DW23" s="455"/>
      <c r="DX23" s="14" t="s">
        <v>194</v>
      </c>
      <c r="DY23" s="244">
        <v>4</v>
      </c>
      <c r="DZ23" s="337">
        <f>O23</f>
        <v>400</v>
      </c>
      <c r="EA23" s="315">
        <f>P23</f>
        <v>250</v>
      </c>
      <c r="EB23" s="316">
        <f>$H$13</f>
        <v>13</v>
      </c>
      <c r="EC23" s="315">
        <f>$H$14</f>
        <v>8</v>
      </c>
      <c r="ED23" s="316">
        <f>$H$15</f>
        <v>25</v>
      </c>
      <c r="EE23" s="334">
        <f t="shared" si="0"/>
        <v>3</v>
      </c>
      <c r="EF23" s="292">
        <f>MAX(EE23,EG23)</f>
        <v>3</v>
      </c>
      <c r="EG23" s="335">
        <v>2</v>
      </c>
      <c r="EH23" s="336">
        <f t="shared" si="1"/>
        <v>2</v>
      </c>
      <c r="EI23" s="292">
        <f>MAX(EH23,EJ23)</f>
        <v>2</v>
      </c>
      <c r="EJ23" s="336">
        <v>2</v>
      </c>
      <c r="EK23" s="334">
        <f t="shared" si="2"/>
        <v>5</v>
      </c>
      <c r="EL23" s="292">
        <f>MAX(EK23,EM23)</f>
        <v>5</v>
      </c>
      <c r="EM23" s="335">
        <v>2</v>
      </c>
      <c r="EN23" s="336">
        <f t="shared" si="3"/>
        <v>3</v>
      </c>
      <c r="EO23" s="292">
        <f>MAX(EN23,EP23)</f>
        <v>3</v>
      </c>
      <c r="EP23" s="336">
        <v>2</v>
      </c>
      <c r="EQ23" s="328" t="s">
        <v>323</v>
      </c>
      <c r="ER23" s="329">
        <f>$H$14</f>
        <v>8</v>
      </c>
      <c r="ES23" s="330" t="s">
        <v>41</v>
      </c>
      <c r="ET23" s="338">
        <f>DT23</f>
        <v>90</v>
      </c>
      <c r="EU23" s="338"/>
      <c r="EV23" s="500"/>
    </row>
    <row r="24" spans="1:152" x14ac:dyDescent="0.25">
      <c r="A24" s="112" t="s">
        <v>103</v>
      </c>
      <c r="G24" s="25" t="s">
        <v>4</v>
      </c>
      <c r="H24" s="2">
        <f>H4</f>
        <v>0.85</v>
      </c>
      <c r="L24" s="453" t="s">
        <v>210</v>
      </c>
      <c r="M24" s="80" t="s">
        <v>211</v>
      </c>
      <c r="N24" s="99"/>
      <c r="O24" s="78"/>
      <c r="P24" s="15"/>
      <c r="Q24" s="82"/>
      <c r="R24" s="16"/>
      <c r="S24" s="82"/>
      <c r="T24" s="15"/>
      <c r="U24" s="82"/>
      <c r="V24" s="16"/>
      <c r="W24" s="83"/>
      <c r="X24" s="128"/>
      <c r="Z24" s="488" t="s">
        <v>210</v>
      </c>
      <c r="AA24" s="18" t="s">
        <v>211</v>
      </c>
      <c r="AB24" s="19"/>
      <c r="AC24" s="30"/>
      <c r="AD24" s="31"/>
      <c r="AE24" s="34"/>
      <c r="AF24" s="31"/>
      <c r="AG24" s="34"/>
      <c r="AH24" s="31"/>
      <c r="AI24" s="34"/>
      <c r="AJ24" s="31"/>
      <c r="AK24" s="34"/>
      <c r="AL24" s="31"/>
      <c r="AM24" s="36"/>
      <c r="AN24" s="31"/>
      <c r="AO24" s="34"/>
      <c r="AP24" s="31"/>
      <c r="AQ24" s="34"/>
      <c r="AR24" s="31"/>
      <c r="AS24" s="34"/>
      <c r="AT24" s="148"/>
      <c r="AU24" s="34"/>
      <c r="AV24" s="153"/>
      <c r="AW24" s="34"/>
      <c r="AX24" s="40"/>
      <c r="AY24" s="34"/>
      <c r="AZ24" s="40"/>
      <c r="BA24" s="34"/>
      <c r="BB24" s="31"/>
      <c r="BC24" s="160"/>
      <c r="BD24" s="34"/>
      <c r="BE24" s="160"/>
      <c r="BF24" s="31"/>
      <c r="BG24" s="36"/>
      <c r="BH24" s="31"/>
      <c r="BI24" s="41"/>
      <c r="BJ24" s="3"/>
      <c r="BK24" s="488" t="s">
        <v>210</v>
      </c>
      <c r="BL24" s="18" t="s">
        <v>211</v>
      </c>
      <c r="BM24" s="19"/>
      <c r="BN24" s="57"/>
      <c r="BO24" s="3"/>
      <c r="BP24" s="57"/>
      <c r="BQ24" s="3"/>
      <c r="BR24" s="57"/>
      <c r="BS24" s="3"/>
      <c r="BT24" s="57"/>
      <c r="BU24" s="3"/>
      <c r="BV24" s="57"/>
      <c r="BW24" s="3"/>
      <c r="BX24" s="63"/>
      <c r="BY24" s="3"/>
      <c r="BZ24" s="57"/>
      <c r="CA24" s="3"/>
      <c r="CB24" s="57"/>
      <c r="CC24" s="3"/>
      <c r="CD24" s="57"/>
      <c r="CE24" s="160"/>
      <c r="CF24" s="34"/>
      <c r="CG24" s="160"/>
      <c r="CH24" s="57"/>
      <c r="CI24" s="64"/>
      <c r="CJ24" s="57"/>
      <c r="CK24" s="64"/>
      <c r="CL24" s="57"/>
      <c r="CM24" s="3"/>
      <c r="CN24" s="148"/>
      <c r="CO24" s="34"/>
      <c r="CP24" s="153"/>
      <c r="CQ24" s="3"/>
      <c r="CR24" s="63"/>
      <c r="CS24" s="3"/>
      <c r="CT24" s="63"/>
      <c r="CV24" s="488" t="s">
        <v>210</v>
      </c>
      <c r="CW24" s="18" t="s">
        <v>211</v>
      </c>
      <c r="CX24" s="19"/>
      <c r="CY24" s="31"/>
      <c r="CZ24" s="34"/>
      <c r="DA24" s="31"/>
      <c r="DB24" s="34"/>
      <c r="DC24" s="31"/>
      <c r="DD24" s="34"/>
      <c r="DE24" s="31"/>
      <c r="DF24" s="36"/>
      <c r="DG24" s="31"/>
      <c r="DH24" s="34"/>
      <c r="DI24" s="31"/>
      <c r="DJ24" s="34"/>
      <c r="DK24" s="31"/>
      <c r="DL24" s="34"/>
      <c r="DM24" s="40"/>
      <c r="DN24" s="34"/>
      <c r="DO24" s="31"/>
      <c r="DP24" s="34"/>
      <c r="DQ24" s="75"/>
      <c r="DR24" s="115"/>
      <c r="DS24" s="131"/>
      <c r="DT24" s="77"/>
      <c r="DW24" s="453" t="s">
        <v>210</v>
      </c>
      <c r="DX24" s="80" t="s">
        <v>211</v>
      </c>
      <c r="DY24" s="99"/>
      <c r="DZ24" s="78"/>
      <c r="EA24" s="15"/>
      <c r="EB24" s="3"/>
      <c r="EC24" s="57"/>
      <c r="ED24" s="3"/>
      <c r="EE24" s="149">
        <f t="shared" si="0"/>
        <v>0</v>
      </c>
      <c r="EF24" s="21"/>
      <c r="EG24" s="154"/>
      <c r="EH24" s="162">
        <f t="shared" si="1"/>
        <v>0</v>
      </c>
      <c r="EI24" s="21"/>
      <c r="EJ24" s="162"/>
      <c r="EK24" s="149">
        <f t="shared" si="2"/>
        <v>0</v>
      </c>
      <c r="EL24" s="21"/>
      <c r="EM24" s="154"/>
      <c r="EN24" s="162">
        <f t="shared" si="3"/>
        <v>0</v>
      </c>
      <c r="EO24" s="21"/>
      <c r="EP24" s="154"/>
      <c r="EQ24" s="75"/>
      <c r="ER24" s="115"/>
      <c r="ES24" s="131"/>
      <c r="ET24" s="77"/>
      <c r="EU24" s="77"/>
      <c r="EV24" s="499" t="s">
        <v>508</v>
      </c>
    </row>
    <row r="25" spans="1:152" x14ac:dyDescent="0.25">
      <c r="A25" s="112" t="s">
        <v>104</v>
      </c>
      <c r="G25" s="177" t="s">
        <v>85</v>
      </c>
      <c r="H25" s="2" t="s">
        <v>263</v>
      </c>
      <c r="I25" s="125"/>
      <c r="L25" s="455"/>
      <c r="M25" s="44" t="s">
        <v>194</v>
      </c>
      <c r="N25" s="106">
        <v>2.5</v>
      </c>
      <c r="O25" s="25">
        <f>'QE &amp; MOMEN'!S36*1000</f>
        <v>250</v>
      </c>
      <c r="P25" s="26">
        <f>'QE &amp; MOMEN'!V36*1000</f>
        <v>150</v>
      </c>
      <c r="Q25" s="27">
        <f>'QE &amp; MOMEN'!AA36</f>
        <v>4.7912499999999998</v>
      </c>
      <c r="R25" s="24">
        <f>'QE &amp; MOMEN'!AA36</f>
        <v>4.7912499999999998</v>
      </c>
      <c r="S25" s="27">
        <f>'QE &amp; MOMEN'!AB36</f>
        <v>11.498999999999999</v>
      </c>
      <c r="T25" s="26">
        <f>$H$4</f>
        <v>0.85</v>
      </c>
      <c r="U25" s="27">
        <f>T25*0.85*$H$7/$H$8*600/(600+$H$8)</f>
        <v>2.7093749999999993E-2</v>
      </c>
      <c r="V25" s="24">
        <f>0.75*U25*$H$8*(1-(0.5*0.75*U25*$H$8/(0.85*$H$7)))</f>
        <v>6.5736210937499981</v>
      </c>
      <c r="W25" s="28">
        <f>$H$27</f>
        <v>0.8</v>
      </c>
      <c r="X25" s="128"/>
      <c r="Z25" s="490"/>
      <c r="AA25" s="52" t="s">
        <v>194</v>
      </c>
      <c r="AB25" s="29">
        <v>2.5</v>
      </c>
      <c r="AC25" s="30">
        <f>O25</f>
        <v>250</v>
      </c>
      <c r="AD25" s="31">
        <f>P25</f>
        <v>150</v>
      </c>
      <c r="AE25" s="32">
        <f>Q25</f>
        <v>4.7912499999999998</v>
      </c>
      <c r="AF25" s="33">
        <f>AE25/W25</f>
        <v>5.9890624999999993</v>
      </c>
      <c r="AG25" s="34">
        <v>50</v>
      </c>
      <c r="AH25" s="31">
        <f>AC25-AG25</f>
        <v>200</v>
      </c>
      <c r="AI25" s="35">
        <f>AF25*10^6/(AD25*AH25^2)</f>
        <v>0.99817708333333321</v>
      </c>
      <c r="AJ25" s="31">
        <f>$H$13</f>
        <v>13</v>
      </c>
      <c r="AK25" s="34">
        <f>$H$14</f>
        <v>8</v>
      </c>
      <c r="AL25" s="31">
        <f>$H$15</f>
        <v>25</v>
      </c>
      <c r="AM25" s="36" t="str">
        <f>IF(AI25&lt;=V25,"OK","NG")</f>
        <v>OK</v>
      </c>
      <c r="AN25" s="37">
        <f>0.85*($H$7/$H$8)*(1-(SQRT(1-2*AI25/(0.85*$H$7))))</f>
        <v>2.5569781162088218E-3</v>
      </c>
      <c r="AO25" s="38">
        <f>1.4/$H$8</f>
        <v>3.4999999999999996E-3</v>
      </c>
      <c r="AP25" s="37">
        <f>0.5*U25</f>
        <v>1.3546874999999996E-2</v>
      </c>
      <c r="AQ25" s="38">
        <f>MAX(AN25:AO25)</f>
        <v>3.4999999999999996E-3</v>
      </c>
      <c r="AR25" s="33">
        <f>AQ25*AD25*AH25</f>
        <v>104.99999999999999</v>
      </c>
      <c r="AS25" s="35">
        <f>AR25/((22/7)/4*AJ25^2)</f>
        <v>0.79074771382463682</v>
      </c>
      <c r="AT25" s="148">
        <f>ROUNDUP(AS25,0)</f>
        <v>1</v>
      </c>
      <c r="AU25" s="49">
        <f>MAX(AT25,AV25)</f>
        <v>2</v>
      </c>
      <c r="AV25" s="153">
        <v>2</v>
      </c>
      <c r="AW25" s="39">
        <f>AU25*(22/7)/4*AJ25^2</f>
        <v>265.57142857142856</v>
      </c>
      <c r="AX25" s="40" t="str">
        <f>IF(AR25&lt;=AW25,"OK","NG")</f>
        <v>OK</v>
      </c>
      <c r="AY25" s="34">
        <f>(AD25-(2*AL25+2*AK25+AU25*AJ25))/(AU25-1)</f>
        <v>58</v>
      </c>
      <c r="AZ25" s="40" t="str">
        <f>IF(AY25&gt;= 25,"OK","NG")</f>
        <v>OK</v>
      </c>
      <c r="BA25" s="34">
        <f>AR25/2</f>
        <v>52.499999999999993</v>
      </c>
      <c r="BB25" s="33">
        <f>BA25/((22/7)/4*AJ25^2)</f>
        <v>0.39537385691231841</v>
      </c>
      <c r="BC25" s="160">
        <f>ROUNDUP(BB25,0)</f>
        <v>1</v>
      </c>
      <c r="BD25" s="34">
        <f>MAX(BC25,BE25)</f>
        <v>2</v>
      </c>
      <c r="BE25" s="160">
        <v>2</v>
      </c>
      <c r="BF25" s="33">
        <f>BD25*(22/7)/4*AJ25^2</f>
        <v>265.57142857142856</v>
      </c>
      <c r="BG25" s="36" t="str">
        <f>IF(BA25&lt;=BF25,"OK","NG")</f>
        <v>OK</v>
      </c>
      <c r="BH25" s="31">
        <f>(AD25-(2*AL25+2*AK25+BD25*AJ25))/(BD25-1)</f>
        <v>58</v>
      </c>
      <c r="BI25" s="41" t="str">
        <f>IF(BH25&gt;= 25,"OK","NG")</f>
        <v>OK</v>
      </c>
      <c r="BJ25" s="3"/>
      <c r="BK25" s="490"/>
      <c r="BL25" s="52" t="s">
        <v>194</v>
      </c>
      <c r="BM25" s="29">
        <v>2.5</v>
      </c>
      <c r="BN25" s="57">
        <f>O25</f>
        <v>250</v>
      </c>
      <c r="BO25" s="3">
        <f>P25</f>
        <v>150</v>
      </c>
      <c r="BP25" s="59">
        <f>R25</f>
        <v>4.7912499999999998</v>
      </c>
      <c r="BQ25" s="60">
        <f>BP25/W25</f>
        <v>5.9890624999999993</v>
      </c>
      <c r="BR25" s="57">
        <v>50</v>
      </c>
      <c r="BS25" s="3">
        <f>BN25-BR25</f>
        <v>200</v>
      </c>
      <c r="BT25" s="71">
        <f>BQ25*10^6/(BO25*BS25^2)</f>
        <v>0.99817708333333321</v>
      </c>
      <c r="BU25" s="3">
        <f>$H$13</f>
        <v>13</v>
      </c>
      <c r="BV25" s="57">
        <f>$H$14</f>
        <v>8</v>
      </c>
      <c r="BW25" s="3">
        <f>$H$15</f>
        <v>25</v>
      </c>
      <c r="BX25" s="63" t="str">
        <f>IF(BT25&lt;=V25,"OK","NG")</f>
        <v>OK</v>
      </c>
      <c r="BY25" s="72">
        <f>0.85*($H$7/$H$8)*(1-(SQRT(1-2*BT25/(0.85*$H$7))))</f>
        <v>2.5569781162088218E-3</v>
      </c>
      <c r="BZ25" s="73">
        <f>1.4/$H$8</f>
        <v>3.4999999999999996E-3</v>
      </c>
      <c r="CA25" s="72">
        <f>0.5*U25</f>
        <v>1.3546874999999996E-2</v>
      </c>
      <c r="CB25" s="73">
        <f>MAX(BY25:BZ25)</f>
        <v>3.4999999999999996E-3</v>
      </c>
      <c r="CC25" s="60">
        <f>CB25*BO25*BS25</f>
        <v>104.99999999999999</v>
      </c>
      <c r="CD25" s="71">
        <f>CC25/((22/7)/4*BU25^2)</f>
        <v>0.79074771382463682</v>
      </c>
      <c r="CE25" s="160">
        <f>ROUNDUP(CD25,0)</f>
        <v>1</v>
      </c>
      <c r="CF25" s="34">
        <f>MAX(CE25,CG25)</f>
        <v>2</v>
      </c>
      <c r="CG25" s="160">
        <v>2</v>
      </c>
      <c r="CH25" s="43">
        <f>CF25*(22/7)/4*BU25^2</f>
        <v>265.57142857142856</v>
      </c>
      <c r="CI25" s="47" t="str">
        <f>IF(CC25&lt;=CH25,"OK","NG")</f>
        <v>OK</v>
      </c>
      <c r="CJ25" s="26">
        <f>(BO25-(2*BW25+2*BV25+CF25*BU25))/(CF25-1)</f>
        <v>58</v>
      </c>
      <c r="CK25" s="47" t="str">
        <f>IF(CJ25&gt;= 25,"OK","NG")</f>
        <v>OK</v>
      </c>
      <c r="CL25" s="26">
        <f>CC25/2</f>
        <v>52.499999999999993</v>
      </c>
      <c r="CM25" s="28">
        <f>CL25/((22/7)/4*BU25^2)</f>
        <v>0.39537385691231841</v>
      </c>
      <c r="CN25" s="150">
        <f>ROUNDUP(CM25,0)</f>
        <v>1</v>
      </c>
      <c r="CO25" s="34">
        <f>MAX(CN25,CP25)</f>
        <v>2</v>
      </c>
      <c r="CP25" s="153">
        <v>2</v>
      </c>
      <c r="CQ25" s="28">
        <f>CO25*(22/7)/4*BU25^2</f>
        <v>265.57142857142856</v>
      </c>
      <c r="CR25" s="44" t="str">
        <f>IF(CL25&lt;=CQ25,"OK","NG")</f>
        <v>OK</v>
      </c>
      <c r="CS25" s="42">
        <f>(BO25-(2*BW25+2*BV25+CO25*BU25))/(CO25-1)</f>
        <v>58</v>
      </c>
      <c r="CT25" s="63" t="str">
        <f>IF(CS25&gt;= 25,"OK","NG")</f>
        <v>OK</v>
      </c>
      <c r="CV25" s="490"/>
      <c r="CW25" s="52" t="s">
        <v>194</v>
      </c>
      <c r="CX25" s="29">
        <v>2.5</v>
      </c>
      <c r="CY25" s="31">
        <f>O25</f>
        <v>250</v>
      </c>
      <c r="CZ25" s="34">
        <f>P25</f>
        <v>150</v>
      </c>
      <c r="DA25" s="74">
        <f>S25</f>
        <v>11.498999999999999</v>
      </c>
      <c r="DB25" s="34">
        <v>0.6</v>
      </c>
      <c r="DC25" s="31">
        <f>$H$9</f>
        <v>240</v>
      </c>
      <c r="DD25" s="34">
        <f>1/6*SQRT($H$7)*CZ25*BS25*0.001</f>
        <v>24.999999999999996</v>
      </c>
      <c r="DE25" s="31">
        <f>DB25*DD25</f>
        <v>14.999999999999996</v>
      </c>
      <c r="DF25" s="36" t="str">
        <f>IF(DA25&lt;=DE25,"Tul. Gerser Praktis","Perlu Tul Geser")</f>
        <v>Tul. Gerser Praktis</v>
      </c>
      <c r="DG25" s="31"/>
      <c r="DH25" s="34"/>
      <c r="DI25" s="31"/>
      <c r="DJ25" s="34"/>
      <c r="DK25" s="31"/>
      <c r="DL25" s="34"/>
      <c r="DM25" s="40"/>
      <c r="DN25" s="34"/>
      <c r="DO25" s="31"/>
      <c r="DP25" s="34">
        <v>200</v>
      </c>
      <c r="DQ25" s="75" t="s">
        <v>323</v>
      </c>
      <c r="DR25" s="115">
        <f>$H$14</f>
        <v>8</v>
      </c>
      <c r="DS25" s="76" t="s">
        <v>41</v>
      </c>
      <c r="DT25" s="77">
        <f>DP25</f>
        <v>200</v>
      </c>
      <c r="DW25" s="455"/>
      <c r="DX25" s="44" t="s">
        <v>194</v>
      </c>
      <c r="DY25" s="106">
        <v>2.5</v>
      </c>
      <c r="DZ25" s="25">
        <f>O25</f>
        <v>250</v>
      </c>
      <c r="EA25" s="26">
        <f>P25</f>
        <v>150</v>
      </c>
      <c r="EB25" s="3">
        <f>$H$13</f>
        <v>13</v>
      </c>
      <c r="EC25" s="57">
        <f>$H$14</f>
        <v>8</v>
      </c>
      <c r="ED25" s="3">
        <f>$H$15</f>
        <v>25</v>
      </c>
      <c r="EE25" s="150">
        <f t="shared" si="0"/>
        <v>1</v>
      </c>
      <c r="EF25" s="49">
        <f>MAX(EE25,EG25)</f>
        <v>2</v>
      </c>
      <c r="EG25" s="155">
        <v>2</v>
      </c>
      <c r="EH25" s="163">
        <f t="shared" si="1"/>
        <v>1</v>
      </c>
      <c r="EI25" s="49">
        <f>MAX(EH25,EJ25)</f>
        <v>2</v>
      </c>
      <c r="EJ25" s="163">
        <v>2</v>
      </c>
      <c r="EK25" s="150">
        <f t="shared" si="2"/>
        <v>1</v>
      </c>
      <c r="EL25" s="49">
        <f>MAX(EK25,EM25)</f>
        <v>2</v>
      </c>
      <c r="EM25" s="155">
        <v>2</v>
      </c>
      <c r="EN25" s="163">
        <f t="shared" si="3"/>
        <v>1</v>
      </c>
      <c r="EO25" s="49">
        <f>MAX(EN25,EP25)</f>
        <v>2</v>
      </c>
      <c r="EP25" s="155">
        <v>2</v>
      </c>
      <c r="EQ25" s="75" t="s">
        <v>323</v>
      </c>
      <c r="ER25" s="115">
        <f>$H$14</f>
        <v>8</v>
      </c>
      <c r="ES25" s="76" t="s">
        <v>41</v>
      </c>
      <c r="ET25" s="55">
        <f>DT25</f>
        <v>200</v>
      </c>
      <c r="EU25" s="55"/>
      <c r="EV25" s="499"/>
    </row>
    <row r="26" spans="1:152" x14ac:dyDescent="0.25">
      <c r="A26" s="112" t="s">
        <v>264</v>
      </c>
      <c r="G26" s="177" t="s">
        <v>265</v>
      </c>
      <c r="H26" s="2" t="s">
        <v>443</v>
      </c>
      <c r="I26" s="125"/>
      <c r="L26" s="453" t="s">
        <v>212</v>
      </c>
      <c r="M26" s="80" t="s">
        <v>197</v>
      </c>
      <c r="N26" s="99"/>
      <c r="O26" s="56"/>
      <c r="P26" s="57"/>
      <c r="Q26" s="58"/>
      <c r="R26" s="59"/>
      <c r="S26" s="58"/>
      <c r="T26" s="57"/>
      <c r="U26" s="58"/>
      <c r="V26" s="59"/>
      <c r="W26" s="60"/>
      <c r="X26" s="128"/>
      <c r="Z26" s="488" t="s">
        <v>212</v>
      </c>
      <c r="AA26" s="18" t="s">
        <v>197</v>
      </c>
      <c r="AB26" s="19"/>
      <c r="AC26" s="61"/>
      <c r="AD26" s="20"/>
      <c r="AE26" s="21"/>
      <c r="AF26" s="20"/>
      <c r="AG26" s="21"/>
      <c r="AH26" s="20"/>
      <c r="AI26" s="21"/>
      <c r="AJ26" s="20"/>
      <c r="AK26" s="21"/>
      <c r="AL26" s="20"/>
      <c r="AM26" s="22"/>
      <c r="AN26" s="101"/>
      <c r="AO26" s="21"/>
      <c r="AP26" s="20"/>
      <c r="AQ26" s="21"/>
      <c r="AR26" s="20"/>
      <c r="AS26" s="21"/>
      <c r="AT26" s="149"/>
      <c r="AU26" s="34"/>
      <c r="AV26" s="154"/>
      <c r="AW26" s="21"/>
      <c r="AX26" s="18"/>
      <c r="AY26" s="21"/>
      <c r="AZ26" s="18"/>
      <c r="BA26" s="21"/>
      <c r="BB26" s="20"/>
      <c r="BC26" s="162"/>
      <c r="BD26" s="21"/>
      <c r="BE26" s="162"/>
      <c r="BF26" s="20"/>
      <c r="BG26" s="22"/>
      <c r="BH26" s="20"/>
      <c r="BI26" s="62"/>
      <c r="BJ26" s="3"/>
      <c r="BK26" s="488" t="s">
        <v>212</v>
      </c>
      <c r="BL26" s="18" t="s">
        <v>197</v>
      </c>
      <c r="BM26" s="19"/>
      <c r="BN26" s="15"/>
      <c r="BO26" s="79"/>
      <c r="BP26" s="15"/>
      <c r="BQ26" s="79"/>
      <c r="BR26" s="15"/>
      <c r="BS26" s="79"/>
      <c r="BT26" s="15"/>
      <c r="BU26" s="79"/>
      <c r="BV26" s="15"/>
      <c r="BW26" s="79"/>
      <c r="BX26" s="80"/>
      <c r="BY26" s="79"/>
      <c r="BZ26" s="15"/>
      <c r="CA26" s="79"/>
      <c r="CB26" s="15"/>
      <c r="CC26" s="79"/>
      <c r="CD26" s="15"/>
      <c r="CE26" s="162"/>
      <c r="CF26" s="21"/>
      <c r="CG26" s="162"/>
      <c r="CH26" s="15"/>
      <c r="CI26" s="81"/>
      <c r="CJ26" s="15"/>
      <c r="CK26" s="81"/>
      <c r="CL26" s="15"/>
      <c r="CM26" s="79"/>
      <c r="CN26" s="149"/>
      <c r="CO26" s="21"/>
      <c r="CP26" s="154"/>
      <c r="CQ26" s="79"/>
      <c r="CR26" s="80"/>
      <c r="CS26" s="79"/>
      <c r="CT26" s="80"/>
      <c r="CV26" s="488" t="s">
        <v>212</v>
      </c>
      <c r="CW26" s="18" t="s">
        <v>197</v>
      </c>
      <c r="CX26" s="19"/>
      <c r="CY26" s="20"/>
      <c r="CZ26" s="21"/>
      <c r="DA26" s="20"/>
      <c r="DB26" s="21"/>
      <c r="DC26" s="20"/>
      <c r="DD26" s="21"/>
      <c r="DE26" s="20"/>
      <c r="DF26" s="22"/>
      <c r="DG26" s="20"/>
      <c r="DH26" s="21"/>
      <c r="DI26" s="20"/>
      <c r="DJ26" s="21"/>
      <c r="DK26" s="20"/>
      <c r="DL26" s="21"/>
      <c r="DM26" s="18"/>
      <c r="DN26" s="21"/>
      <c r="DO26" s="20"/>
      <c r="DP26" s="21"/>
      <c r="DQ26" s="132"/>
      <c r="DR26" s="141"/>
      <c r="DS26" s="102"/>
      <c r="DT26" s="133"/>
      <c r="DW26" s="453" t="s">
        <v>212</v>
      </c>
      <c r="DX26" s="80" t="s">
        <v>197</v>
      </c>
      <c r="DY26" s="99"/>
      <c r="DZ26" s="56"/>
      <c r="EA26" s="57"/>
      <c r="EB26" s="79"/>
      <c r="EC26" s="15"/>
      <c r="ED26" s="79"/>
      <c r="EE26" s="148">
        <f t="shared" si="0"/>
        <v>0</v>
      </c>
      <c r="EF26" s="34"/>
      <c r="EG26" s="153"/>
      <c r="EH26" s="160">
        <f t="shared" si="1"/>
        <v>0</v>
      </c>
      <c r="EI26" s="34"/>
      <c r="EJ26" s="160"/>
      <c r="EK26" s="148">
        <f t="shared" si="2"/>
        <v>0</v>
      </c>
      <c r="EL26" s="34"/>
      <c r="EM26" s="153"/>
      <c r="EN26" s="160">
        <f t="shared" si="3"/>
        <v>0</v>
      </c>
      <c r="EO26" s="34"/>
      <c r="EP26" s="160"/>
      <c r="EQ26" s="132"/>
      <c r="ER26" s="141"/>
      <c r="ES26" s="102"/>
      <c r="ET26" s="133"/>
      <c r="EU26" s="133"/>
      <c r="EV26" s="499" t="s">
        <v>397</v>
      </c>
    </row>
    <row r="27" spans="1:152" x14ac:dyDescent="0.25">
      <c r="A27" s="112" t="s">
        <v>105</v>
      </c>
      <c r="G27" s="177" t="s">
        <v>86</v>
      </c>
      <c r="H27" s="187">
        <v>0.8</v>
      </c>
      <c r="I27" s="125"/>
      <c r="L27" s="454"/>
      <c r="M27" s="44" t="s">
        <v>194</v>
      </c>
      <c r="N27" s="106">
        <v>3.5</v>
      </c>
      <c r="O27" s="56">
        <f>'QE &amp; MOMEN'!S38*1000</f>
        <v>400</v>
      </c>
      <c r="P27" s="57">
        <f>'QE &amp; MOMEN'!V38*1000</f>
        <v>250</v>
      </c>
      <c r="Q27" s="58">
        <f>'QE &amp; MOMEN'!AA38</f>
        <v>21.404833333333332</v>
      </c>
      <c r="R27" s="59">
        <f>'QE &amp; MOMEN'!AA38</f>
        <v>21.404833333333332</v>
      </c>
      <c r="S27" s="58">
        <f>'QE &amp; MOMEN'!AB38</f>
        <v>36.694000000000003</v>
      </c>
      <c r="T27" s="57">
        <f>$H$4</f>
        <v>0.85</v>
      </c>
      <c r="U27" s="58">
        <f>T27*0.85*$H$7/$H$8*600/(600+$H$8)</f>
        <v>2.7093749999999993E-2</v>
      </c>
      <c r="V27" s="59">
        <f>0.75*U27*$H$8*(1-(0.5*0.75*U27*$H$8/(0.85*$H$7)))</f>
        <v>6.5736210937499981</v>
      </c>
      <c r="W27" s="60">
        <f>$H$27</f>
        <v>0.8</v>
      </c>
      <c r="X27" s="128"/>
      <c r="Z27" s="489"/>
      <c r="AA27" s="52" t="s">
        <v>194</v>
      </c>
      <c r="AB27" s="29">
        <v>3.5</v>
      </c>
      <c r="AC27" s="65">
        <f>O27</f>
        <v>400</v>
      </c>
      <c r="AD27" s="48">
        <f>P27</f>
        <v>250</v>
      </c>
      <c r="AE27" s="66">
        <f>Q27</f>
        <v>21.404833333333332</v>
      </c>
      <c r="AF27" s="67">
        <f>AE27/W27</f>
        <v>26.756041666666665</v>
      </c>
      <c r="AG27" s="49">
        <v>50</v>
      </c>
      <c r="AH27" s="48">
        <f>AC27-AG27</f>
        <v>350</v>
      </c>
      <c r="AI27" s="39">
        <f>AF27*10^6/(AD27*AH27^2)</f>
        <v>0.87366666666666659</v>
      </c>
      <c r="AJ27" s="48">
        <f>$H$13</f>
        <v>13</v>
      </c>
      <c r="AK27" s="49">
        <f>$H$14</f>
        <v>8</v>
      </c>
      <c r="AL27" s="48">
        <f>$H$15</f>
        <v>25</v>
      </c>
      <c r="AM27" s="51" t="str">
        <f>IF(AI27&lt;=V27,"OK","NG")</f>
        <v>OK</v>
      </c>
      <c r="AN27" s="68">
        <f>0.85*($H$7/$H$8)*(1-(SQRT(1-2*AI27/(0.85*$H$7))))</f>
        <v>2.2310129615819283E-3</v>
      </c>
      <c r="AO27" s="69">
        <f>1.4/$H$8</f>
        <v>3.4999999999999996E-3</v>
      </c>
      <c r="AP27" s="68">
        <f>0.5*U27</f>
        <v>1.3546874999999996E-2</v>
      </c>
      <c r="AQ27" s="69">
        <f>MAX(AN27:AO27)</f>
        <v>3.4999999999999996E-3</v>
      </c>
      <c r="AR27" s="67">
        <f>AQ27*AD27*AH27</f>
        <v>306.24999999999994</v>
      </c>
      <c r="AS27" s="39">
        <f>AR27/((22/7)/4*AJ27^2)</f>
        <v>2.3063474986551906</v>
      </c>
      <c r="AT27" s="150">
        <f>ROUNDUP(AS27,0)</f>
        <v>3</v>
      </c>
      <c r="AU27" s="49">
        <f>MAX(AT27,AV27)</f>
        <v>3</v>
      </c>
      <c r="AV27" s="155">
        <v>2</v>
      </c>
      <c r="AW27" s="39">
        <f>AU27*(22/7)/4*AJ27^2</f>
        <v>398.35714285714289</v>
      </c>
      <c r="AX27" s="52" t="str">
        <f>IF(AR27&lt;=AW27,"OK","NG")</f>
        <v>OK</v>
      </c>
      <c r="AY27" s="34">
        <f>(AD27-(2*AL27+2*AK27+AU27*AJ27))/(AU27-1)</f>
        <v>72.5</v>
      </c>
      <c r="AZ27" s="52" t="str">
        <f>IF(AY27&gt;= 25,"OK","NG")</f>
        <v>OK</v>
      </c>
      <c r="BA27" s="49">
        <f>AR27/2</f>
        <v>153.12499999999997</v>
      </c>
      <c r="BB27" s="67">
        <f>BA27/((22/7)/4*AJ27^2)</f>
        <v>1.1531737493275953</v>
      </c>
      <c r="BC27" s="160">
        <f>ROUNDUP(BB27,0)</f>
        <v>2</v>
      </c>
      <c r="BD27" s="34">
        <f>MAX(BC27,BE27)</f>
        <v>2</v>
      </c>
      <c r="BE27" s="160">
        <v>2</v>
      </c>
      <c r="BF27" s="33">
        <f>BD27*(22/7)/4*AJ27^2</f>
        <v>265.57142857142856</v>
      </c>
      <c r="BG27" s="36" t="str">
        <f>IF(BA27&lt;=BF27,"OK","NG")</f>
        <v>OK</v>
      </c>
      <c r="BH27" s="31">
        <f>(AD27-(2*AL27+2*AK27+BD27*AJ27))/(BD27-1)</f>
        <v>158</v>
      </c>
      <c r="BI27" s="70" t="str">
        <f>IF(BH27&gt;= 25,"OK","NG")</f>
        <v>OK</v>
      </c>
      <c r="BJ27" s="3"/>
      <c r="BK27" s="489"/>
      <c r="BL27" s="52" t="s">
        <v>194</v>
      </c>
      <c r="BM27" s="29">
        <v>3.5</v>
      </c>
      <c r="BN27" s="26">
        <f>O27</f>
        <v>400</v>
      </c>
      <c r="BO27" s="42">
        <f>P27</f>
        <v>250</v>
      </c>
      <c r="BP27" s="24">
        <f>R27</f>
        <v>21.404833333333332</v>
      </c>
      <c r="BQ27" s="28">
        <f>BP27/W27</f>
        <v>26.756041666666665</v>
      </c>
      <c r="BR27" s="26">
        <v>50</v>
      </c>
      <c r="BS27" s="42">
        <f>BN27-BR27</f>
        <v>350</v>
      </c>
      <c r="BT27" s="43">
        <f>BQ27*10^6/(BO27*BS27^2)</f>
        <v>0.87366666666666659</v>
      </c>
      <c r="BU27" s="42">
        <f>$H$13</f>
        <v>13</v>
      </c>
      <c r="BV27" s="26">
        <f>$H$14</f>
        <v>8</v>
      </c>
      <c r="BW27" s="42">
        <f>$H$15</f>
        <v>25</v>
      </c>
      <c r="BX27" s="44" t="str">
        <f>IF(BT27&lt;=V27,"OK","NG")</f>
        <v>OK</v>
      </c>
      <c r="BY27" s="45">
        <f>0.85*($H$7/$H$8)*(1-(SQRT(1-2*BT27/(0.85*$H$7))))</f>
        <v>2.2310129615819283E-3</v>
      </c>
      <c r="BZ27" s="46">
        <f>1.4/$H$8</f>
        <v>3.4999999999999996E-3</v>
      </c>
      <c r="CA27" s="45">
        <f>0.5*U27</f>
        <v>1.3546874999999996E-2</v>
      </c>
      <c r="CB27" s="46">
        <f>MAX(BY27:BZ27)</f>
        <v>3.4999999999999996E-3</v>
      </c>
      <c r="CC27" s="28">
        <f>CB27*BO27*BS27</f>
        <v>306.24999999999994</v>
      </c>
      <c r="CD27" s="43">
        <f>CC27/((22/7)/4*BU27^2)</f>
        <v>2.3063474986551906</v>
      </c>
      <c r="CE27" s="163">
        <f>ROUNDUP(CD27,0)</f>
        <v>3</v>
      </c>
      <c r="CF27" s="34">
        <f>MAX(CE27,CG27)</f>
        <v>3</v>
      </c>
      <c r="CG27" s="160">
        <v>2</v>
      </c>
      <c r="CH27" s="43">
        <f>CF27*(22/7)/4*BU27^2</f>
        <v>398.35714285714289</v>
      </c>
      <c r="CI27" s="47" t="str">
        <f>IF(CC27&lt;=CH27,"OK","NG")</f>
        <v>OK</v>
      </c>
      <c r="CJ27" s="26">
        <f>(BO27-(2*BW27+2*BV27+CF27*BU27))/(CF27-1)</f>
        <v>72.5</v>
      </c>
      <c r="CK27" s="47" t="str">
        <f>IF(CJ27&gt;= 25,"OK","NG")</f>
        <v>OK</v>
      </c>
      <c r="CL27" s="26">
        <f>CC27/2</f>
        <v>153.12499999999997</v>
      </c>
      <c r="CM27" s="28">
        <f>CL27/((22/7)/4*BU27^2)</f>
        <v>1.1531737493275953</v>
      </c>
      <c r="CN27" s="150">
        <f>ROUNDUP(CM27,0)</f>
        <v>2</v>
      </c>
      <c r="CO27" s="34">
        <f>MAX(CN27,CP27)</f>
        <v>2</v>
      </c>
      <c r="CP27" s="153">
        <v>2</v>
      </c>
      <c r="CQ27" s="28">
        <f>CO27*(22/7)/4*BU27^2</f>
        <v>265.57142857142856</v>
      </c>
      <c r="CR27" s="44" t="str">
        <f>IF(CL27&lt;=CQ27,"OK","NG")</f>
        <v>OK</v>
      </c>
      <c r="CS27" s="42">
        <f>(BO27-(2*BW27+2*BV27+CO27*BU27))/(CO27-1)</f>
        <v>158</v>
      </c>
      <c r="CT27" s="44" t="str">
        <f>IF(CS27&gt;= 25,"OK","NG")</f>
        <v>OK</v>
      </c>
      <c r="CV27" s="489"/>
      <c r="CW27" s="52" t="s">
        <v>194</v>
      </c>
      <c r="CX27" s="29">
        <v>3.5</v>
      </c>
      <c r="CY27" s="48">
        <f>O27</f>
        <v>400</v>
      </c>
      <c r="CZ27" s="49">
        <f>P27</f>
        <v>250</v>
      </c>
      <c r="DA27" s="50">
        <f>S27</f>
        <v>36.694000000000003</v>
      </c>
      <c r="DB27" s="49">
        <v>0.6</v>
      </c>
      <c r="DC27" s="48">
        <f>$H$9</f>
        <v>240</v>
      </c>
      <c r="DD27" s="49">
        <f>1/6*SQRT($H$7)*CZ27*BS27*0.001</f>
        <v>72.916666666666657</v>
      </c>
      <c r="DE27" s="48">
        <f>DB27*DD27</f>
        <v>43.749999999999993</v>
      </c>
      <c r="DF27" s="51" t="str">
        <f>IF(DA27&lt;=DE27,"Tul. Gerser Praktis","Perlu Tul Geser")</f>
        <v>Tul. Gerser Praktis</v>
      </c>
      <c r="DG27" s="48"/>
      <c r="DH27" s="49"/>
      <c r="DI27" s="48"/>
      <c r="DJ27" s="49"/>
      <c r="DK27" s="48"/>
      <c r="DL27" s="49"/>
      <c r="DM27" s="52"/>
      <c r="DN27" s="49"/>
      <c r="DO27" s="48"/>
      <c r="DP27" s="49">
        <v>200</v>
      </c>
      <c r="DQ27" s="53" t="s">
        <v>323</v>
      </c>
      <c r="DR27" s="143">
        <f>$H$14</f>
        <v>8</v>
      </c>
      <c r="DS27" s="54" t="s">
        <v>41</v>
      </c>
      <c r="DT27" s="55">
        <f>DP27</f>
        <v>200</v>
      </c>
      <c r="DW27" s="454"/>
      <c r="DX27" s="44" t="s">
        <v>194</v>
      </c>
      <c r="DY27" s="106">
        <v>3.5</v>
      </c>
      <c r="DZ27" s="25">
        <f>O27</f>
        <v>400</v>
      </c>
      <c r="EA27" s="26">
        <f>P27</f>
        <v>250</v>
      </c>
      <c r="EB27" s="42">
        <f>$H$13</f>
        <v>13</v>
      </c>
      <c r="EC27" s="26">
        <f>$H$14</f>
        <v>8</v>
      </c>
      <c r="ED27" s="42">
        <f>$H$15</f>
        <v>25</v>
      </c>
      <c r="EE27" s="148">
        <f t="shared" si="0"/>
        <v>3</v>
      </c>
      <c r="EF27" s="34">
        <f>MAX(EE27,EG27)</f>
        <v>3</v>
      </c>
      <c r="EG27" s="153">
        <v>2</v>
      </c>
      <c r="EH27" s="160">
        <f t="shared" si="1"/>
        <v>2</v>
      </c>
      <c r="EI27" s="34">
        <f>MAX(EH27,EJ27)</f>
        <v>2</v>
      </c>
      <c r="EJ27" s="160">
        <v>2</v>
      </c>
      <c r="EK27" s="148">
        <f t="shared" si="2"/>
        <v>3</v>
      </c>
      <c r="EL27" s="34">
        <f>MAX(EK27,EM27)</f>
        <v>3</v>
      </c>
      <c r="EM27" s="153">
        <v>2</v>
      </c>
      <c r="EN27" s="160">
        <f t="shared" si="3"/>
        <v>2</v>
      </c>
      <c r="EO27" s="34">
        <f>MAX(EN27,EP27)</f>
        <v>2</v>
      </c>
      <c r="EP27" s="160">
        <v>2</v>
      </c>
      <c r="EQ27" s="53" t="s">
        <v>323</v>
      </c>
      <c r="ER27" s="143">
        <f>$H$14</f>
        <v>8</v>
      </c>
      <c r="ES27" s="54" t="s">
        <v>41</v>
      </c>
      <c r="ET27" s="55">
        <f>DT27</f>
        <v>200</v>
      </c>
      <c r="EU27" s="55"/>
      <c r="EV27" s="499"/>
    </row>
    <row r="28" spans="1:152" ht="15.75" customHeight="1" x14ac:dyDescent="0.25">
      <c r="I28" s="137"/>
      <c r="L28" s="454"/>
      <c r="M28" s="80" t="s">
        <v>205</v>
      </c>
      <c r="N28" s="99"/>
      <c r="O28" s="78"/>
      <c r="P28" s="15"/>
      <c r="Q28" s="82"/>
      <c r="R28" s="16"/>
      <c r="S28" s="82"/>
      <c r="T28" s="15"/>
      <c r="U28" s="82"/>
      <c r="V28" s="16"/>
      <c r="W28" s="83"/>
      <c r="X28" s="128"/>
      <c r="Z28" s="489"/>
      <c r="AA28" s="18" t="s">
        <v>205</v>
      </c>
      <c r="AB28" s="19"/>
      <c r="AC28" s="30"/>
      <c r="AD28" s="31"/>
      <c r="AE28" s="34"/>
      <c r="AF28" s="31"/>
      <c r="AG28" s="34"/>
      <c r="AH28" s="31"/>
      <c r="AI28" s="34"/>
      <c r="AJ28" s="31"/>
      <c r="AK28" s="34"/>
      <c r="AL28" s="31"/>
      <c r="AM28" s="36"/>
      <c r="AN28" s="31"/>
      <c r="AO28" s="34"/>
      <c r="AP28" s="31"/>
      <c r="AQ28" s="34"/>
      <c r="AR28" s="31"/>
      <c r="AS28" s="34"/>
      <c r="AT28" s="148"/>
      <c r="AU28" s="34"/>
      <c r="AV28" s="153"/>
      <c r="AW28" s="34"/>
      <c r="AX28" s="40"/>
      <c r="AY28" s="20"/>
      <c r="AZ28" s="40"/>
      <c r="BA28" s="34"/>
      <c r="BB28" s="31"/>
      <c r="BC28" s="149"/>
      <c r="BD28" s="21"/>
      <c r="BE28" s="162"/>
      <c r="BF28" s="20"/>
      <c r="BG28" s="22"/>
      <c r="BH28" s="20"/>
      <c r="BI28" s="41"/>
      <c r="BJ28" s="3"/>
      <c r="BK28" s="489"/>
      <c r="BL28" s="18" t="s">
        <v>205</v>
      </c>
      <c r="BM28" s="19"/>
      <c r="BN28" s="89"/>
      <c r="BO28" s="90"/>
      <c r="BP28" s="89"/>
      <c r="BQ28" s="90"/>
      <c r="BR28" s="89"/>
      <c r="BS28" s="90"/>
      <c r="BT28" s="89"/>
      <c r="BU28" s="90"/>
      <c r="BV28" s="89"/>
      <c r="BW28" s="90"/>
      <c r="BX28" s="91"/>
      <c r="BY28" s="90"/>
      <c r="BZ28" s="89"/>
      <c r="CA28" s="90"/>
      <c r="CB28" s="89"/>
      <c r="CC28" s="90"/>
      <c r="CD28" s="89"/>
      <c r="CE28" s="160"/>
      <c r="CF28" s="21"/>
      <c r="CG28" s="162"/>
      <c r="CH28" s="89"/>
      <c r="CI28" s="92"/>
      <c r="CJ28" s="89"/>
      <c r="CK28" s="92"/>
      <c r="CL28" s="89"/>
      <c r="CM28" s="90"/>
      <c r="CN28" s="148"/>
      <c r="CO28" s="21"/>
      <c r="CP28" s="154"/>
      <c r="CQ28" s="90"/>
      <c r="CR28" s="91"/>
      <c r="CS28" s="90"/>
      <c r="CT28" s="91"/>
      <c r="CV28" s="489"/>
      <c r="CW28" s="18" t="s">
        <v>205</v>
      </c>
      <c r="CX28" s="19"/>
      <c r="CY28" s="31"/>
      <c r="CZ28" s="34"/>
      <c r="DA28" s="31"/>
      <c r="DB28" s="34"/>
      <c r="DC28" s="31"/>
      <c r="DD28" s="34"/>
      <c r="DE28" s="31"/>
      <c r="DF28" s="36"/>
      <c r="DG28" s="31"/>
      <c r="DH28" s="34"/>
      <c r="DI28" s="31"/>
      <c r="DJ28" s="34"/>
      <c r="DK28" s="31"/>
      <c r="DL28" s="34"/>
      <c r="DM28" s="40"/>
      <c r="DN28" s="34"/>
      <c r="DO28" s="31"/>
      <c r="DP28" s="34"/>
      <c r="DQ28" s="75"/>
      <c r="DR28" s="115"/>
      <c r="DS28" s="131"/>
      <c r="DT28" s="77"/>
      <c r="DW28" s="454"/>
      <c r="DX28" s="80" t="s">
        <v>205</v>
      </c>
      <c r="DY28" s="99"/>
      <c r="DZ28" s="78"/>
      <c r="EA28" s="15"/>
      <c r="EB28" s="90"/>
      <c r="EC28" s="89"/>
      <c r="ED28" s="90"/>
      <c r="EE28" s="149">
        <f t="shared" si="0"/>
        <v>0</v>
      </c>
      <c r="EF28" s="21"/>
      <c r="EG28" s="154"/>
      <c r="EH28" s="162">
        <f t="shared" si="1"/>
        <v>0</v>
      </c>
      <c r="EI28" s="21"/>
      <c r="EJ28" s="162"/>
      <c r="EK28" s="149">
        <f t="shared" si="2"/>
        <v>0</v>
      </c>
      <c r="EL28" s="21"/>
      <c r="EM28" s="154"/>
      <c r="EN28" s="162">
        <f t="shared" si="3"/>
        <v>0</v>
      </c>
      <c r="EO28" s="21"/>
      <c r="EP28" s="154"/>
      <c r="EQ28" s="75"/>
      <c r="ER28" s="115"/>
      <c r="ES28" s="131"/>
      <c r="ET28" s="77"/>
      <c r="EU28" s="77"/>
      <c r="EV28" s="499" t="s">
        <v>362</v>
      </c>
    </row>
    <row r="29" spans="1:152" x14ac:dyDescent="0.25">
      <c r="A29" s="125" t="s">
        <v>267</v>
      </c>
      <c r="B29" s="125"/>
      <c r="C29" s="125"/>
      <c r="I29" s="125"/>
      <c r="L29" s="454"/>
      <c r="M29" s="44" t="s">
        <v>194</v>
      </c>
      <c r="N29" s="106">
        <v>4</v>
      </c>
      <c r="O29" s="25">
        <f>'QE &amp; MOMEN'!S40*1000</f>
        <v>400</v>
      </c>
      <c r="P29" s="26">
        <f>'QE &amp; MOMEN'!V40*1000</f>
        <v>250</v>
      </c>
      <c r="Q29" s="27">
        <f>'QE &amp; MOMEN'!BC24</f>
        <v>9.1545888057989089</v>
      </c>
      <c r="R29" s="24">
        <f>'QE &amp; MOMEN'!BB24</f>
        <v>59.759197916666665</v>
      </c>
      <c r="S29" s="27">
        <f>'QE &amp; MOMEN'!BF24</f>
        <v>69.928838541666664</v>
      </c>
      <c r="T29" s="26">
        <f>$H$4</f>
        <v>0.85</v>
      </c>
      <c r="U29" s="27">
        <f>T29*0.85*$H$7/$H$8*600/(600+$H$8)</f>
        <v>2.7093749999999993E-2</v>
      </c>
      <c r="V29" s="24">
        <f>0.75*U29*$H$8*(1-(0.5*0.75*U29*$H$8/(0.85*$H$7)))</f>
        <v>6.5736210937499981</v>
      </c>
      <c r="W29" s="28">
        <f>$H$27</f>
        <v>0.8</v>
      </c>
      <c r="X29" s="128"/>
      <c r="Z29" s="489"/>
      <c r="AA29" s="52" t="s">
        <v>194</v>
      </c>
      <c r="AB29" s="29">
        <v>4</v>
      </c>
      <c r="AC29" s="30">
        <f>O29</f>
        <v>400</v>
      </c>
      <c r="AD29" s="31">
        <f>P29</f>
        <v>250</v>
      </c>
      <c r="AE29" s="32">
        <f>Q29</f>
        <v>9.1545888057989089</v>
      </c>
      <c r="AF29" s="33">
        <f>AE29/W29</f>
        <v>11.443236007248636</v>
      </c>
      <c r="AG29" s="34">
        <v>50</v>
      </c>
      <c r="AH29" s="31">
        <f>AC29-AG29</f>
        <v>350</v>
      </c>
      <c r="AI29" s="35">
        <f>AF29*10^6/(AD29*AH29^2)</f>
        <v>0.3736566859509759</v>
      </c>
      <c r="AJ29" s="31">
        <f>$H$13</f>
        <v>13</v>
      </c>
      <c r="AK29" s="34">
        <f>$H$14</f>
        <v>8</v>
      </c>
      <c r="AL29" s="31">
        <f>$H$15</f>
        <v>25</v>
      </c>
      <c r="AM29" s="36" t="str">
        <f>IF(AI29&lt;=V29,"OK","NG")</f>
        <v>OK</v>
      </c>
      <c r="AN29" s="37">
        <f>0.85*($H$7/$H$8)*(1-(SQRT(1-2*AI29/(0.85*$H$7))))</f>
        <v>9.4250228482473455E-4</v>
      </c>
      <c r="AO29" s="38">
        <f>1.4/$H$8</f>
        <v>3.4999999999999996E-3</v>
      </c>
      <c r="AP29" s="37">
        <f>0.5*U29</f>
        <v>1.3546874999999996E-2</v>
      </c>
      <c r="AQ29" s="38">
        <f>MAX(AN29:AO29)</f>
        <v>3.4999999999999996E-3</v>
      </c>
      <c r="AR29" s="33">
        <f>AQ29*AD29*AH29</f>
        <v>306.24999999999994</v>
      </c>
      <c r="AS29" s="35">
        <f>AR29/((22/7)/4*AJ29^2)</f>
        <v>2.3063474986551906</v>
      </c>
      <c r="AT29" s="150">
        <f>ROUNDUP(AS29,0)</f>
        <v>3</v>
      </c>
      <c r="AU29" s="49">
        <f>MAX(AT29,AV29)</f>
        <v>3</v>
      </c>
      <c r="AV29" s="153">
        <v>2</v>
      </c>
      <c r="AW29" s="39">
        <f>AU29*(22/7)/4*AJ29^2</f>
        <v>398.35714285714289</v>
      </c>
      <c r="AX29" s="40" t="str">
        <f>IF(AR29&lt;=AW29,"OK","NG")</f>
        <v>OK</v>
      </c>
      <c r="AY29" s="31">
        <f>(AD29-(2*AL29+2*AK29+AU29*AJ29))/(AU29-1)</f>
        <v>72.5</v>
      </c>
      <c r="AZ29" s="40" t="str">
        <f>IF(AY29&gt;= 25,"OK","NG")</f>
        <v>OK</v>
      </c>
      <c r="BA29" s="34">
        <f>AR29/2</f>
        <v>153.12499999999997</v>
      </c>
      <c r="BB29" s="33">
        <f>BA29/((22/7)/4*AJ29^2)</f>
        <v>1.1531737493275953</v>
      </c>
      <c r="BC29" s="148">
        <f>ROUNDUP(BB29,0)</f>
        <v>2</v>
      </c>
      <c r="BD29" s="34">
        <f>MAX(BC29,BE29)</f>
        <v>2</v>
      </c>
      <c r="BE29" s="160">
        <v>2</v>
      </c>
      <c r="BF29" s="33">
        <f>BD29*(22/7)/4*AJ29^2</f>
        <v>265.57142857142856</v>
      </c>
      <c r="BG29" s="36" t="str">
        <f>IF(BA29&lt;=BF29,"OK","NG")</f>
        <v>OK</v>
      </c>
      <c r="BH29" s="31">
        <f>(AD29-(2*AL29+2*AK29+BD29*AJ29))/(BD29-1)</f>
        <v>158</v>
      </c>
      <c r="BI29" s="41" t="str">
        <f>IF(BH29&gt;= 25,"OK","NG")</f>
        <v>OK</v>
      </c>
      <c r="BJ29" s="3"/>
      <c r="BK29" s="489"/>
      <c r="BL29" s="52" t="s">
        <v>194</v>
      </c>
      <c r="BM29" s="29">
        <v>4</v>
      </c>
      <c r="BN29" s="57">
        <f>O29</f>
        <v>400</v>
      </c>
      <c r="BO29" s="3">
        <f>P29</f>
        <v>250</v>
      </c>
      <c r="BP29" s="59">
        <f>R29</f>
        <v>59.759197916666665</v>
      </c>
      <c r="BQ29" s="60">
        <f>BP29/W29</f>
        <v>74.698997395833331</v>
      </c>
      <c r="BR29" s="57">
        <v>50</v>
      </c>
      <c r="BS29" s="3">
        <f>BN29-BR29</f>
        <v>350</v>
      </c>
      <c r="BT29" s="71">
        <f>BQ29*10^6/(BO29*BS29^2)</f>
        <v>2.4391509353741494</v>
      </c>
      <c r="BU29" s="3">
        <f>$H$13</f>
        <v>13</v>
      </c>
      <c r="BV29" s="57">
        <f>$H$14</f>
        <v>8</v>
      </c>
      <c r="BW29" s="3">
        <f>$H$15</f>
        <v>25</v>
      </c>
      <c r="BX29" s="63" t="str">
        <f>IF(BT29&lt;=V29,"OK","NG")</f>
        <v>OK</v>
      </c>
      <c r="BY29" s="72">
        <f>0.85*($H$7/$H$8)*(1-(SQRT(1-2*BT29/(0.85*$H$7))))</f>
        <v>6.4949007314884484E-3</v>
      </c>
      <c r="BZ29" s="73">
        <f>1.4/$H$8</f>
        <v>3.4999999999999996E-3</v>
      </c>
      <c r="CA29" s="72">
        <f>0.5*U29</f>
        <v>1.3546874999999996E-2</v>
      </c>
      <c r="CB29" s="73">
        <f>MAX(BY29:BZ29)</f>
        <v>6.4949007314884484E-3</v>
      </c>
      <c r="CC29" s="60">
        <f>CB29*BO29*BS29</f>
        <v>568.30381400523925</v>
      </c>
      <c r="CD29" s="71">
        <f>CC29/((22/7)/4*BU29^2)</f>
        <v>4.279856587452044</v>
      </c>
      <c r="CE29" s="160">
        <f>ROUNDUP(CD29,0)</f>
        <v>5</v>
      </c>
      <c r="CF29" s="34">
        <f>MAX(CE29,CG29)</f>
        <v>5</v>
      </c>
      <c r="CG29" s="160">
        <v>2</v>
      </c>
      <c r="CH29" s="43">
        <f>CF29*(22/7)/4*BU29^2</f>
        <v>663.92857142857144</v>
      </c>
      <c r="CI29" s="47" t="str">
        <f>IF(CC29&lt;=CH29,"OK","NG")</f>
        <v>OK</v>
      </c>
      <c r="CJ29" s="26">
        <f>(BO29-(2*BW29+2*BV29+CF29*BU29))/(CF29-1)</f>
        <v>29.75</v>
      </c>
      <c r="CK29" s="47" t="str">
        <f>IF(CJ29&gt;= 25,"OK","NG")</f>
        <v>OK</v>
      </c>
      <c r="CL29" s="26">
        <f>CC29/2</f>
        <v>284.15190700261962</v>
      </c>
      <c r="CM29" s="28">
        <f>CL29/((22/7)/4*BU29^2)</f>
        <v>2.139928293726022</v>
      </c>
      <c r="CN29" s="150">
        <f>ROUNDUP(CM29,0)</f>
        <v>3</v>
      </c>
      <c r="CO29" s="34">
        <f>MAX(CN29,CP29)</f>
        <v>3</v>
      </c>
      <c r="CP29" s="153">
        <v>2</v>
      </c>
      <c r="CQ29" s="28">
        <f>CO29*(22/7)/4*BU29^2</f>
        <v>398.35714285714289</v>
      </c>
      <c r="CR29" s="44" t="str">
        <f>IF(CL29&lt;=CQ29,"OK","NG")</f>
        <v>OK</v>
      </c>
      <c r="CS29" s="42">
        <f>(BO29-(2*BW29+2*BV29+CO29*BU29))/(CO29-1)</f>
        <v>72.5</v>
      </c>
      <c r="CT29" s="63" t="str">
        <f>IF(CS29&gt;= 25,"OK","NG")</f>
        <v>OK</v>
      </c>
      <c r="CV29" s="489"/>
      <c r="CW29" s="52" t="s">
        <v>194</v>
      </c>
      <c r="CX29" s="29">
        <v>4</v>
      </c>
      <c r="CY29" s="31">
        <f>O29</f>
        <v>400</v>
      </c>
      <c r="CZ29" s="34">
        <f>P29</f>
        <v>250</v>
      </c>
      <c r="DA29" s="74">
        <f>S29</f>
        <v>69.928838541666664</v>
      </c>
      <c r="DB29" s="34">
        <v>0.6</v>
      </c>
      <c r="DC29" s="31">
        <f>$H$9</f>
        <v>240</v>
      </c>
      <c r="DD29" s="34">
        <f>1/6*SQRT($H$7)*CZ29*BS29*0.001</f>
        <v>72.916666666666657</v>
      </c>
      <c r="DE29" s="31">
        <f>DB29*DD29</f>
        <v>43.749999999999993</v>
      </c>
      <c r="DF29" s="36" t="str">
        <f>IF(DA29&lt;=DE29,"Tul. Gerser Praktis","Perlu Tul Geser")</f>
        <v>Perlu Tul Geser</v>
      </c>
      <c r="DG29" s="74">
        <f>DA29-DE29</f>
        <v>26.178838541666671</v>
      </c>
      <c r="DH29" s="34">
        <f>DG29/DB29</f>
        <v>43.631397569444452</v>
      </c>
      <c r="DI29" s="31">
        <v>1</v>
      </c>
      <c r="DJ29" s="34">
        <f>$AK$11</f>
        <v>8</v>
      </c>
      <c r="DK29" s="31">
        <f>DI29*((22/7)/4)*DJ29^2</f>
        <v>50.285714285714285</v>
      </c>
      <c r="DL29" s="34">
        <f>DK29*DC27*BS29/(DH29*10^3)</f>
        <v>96.811017645653266</v>
      </c>
      <c r="DM29" s="40" t="str">
        <f>IF(DH29&lt;(1/3*SQRT($H$7)*CZ29*BS29),"1/2 D - 600","1/4D - 300")</f>
        <v>1/2 D - 600</v>
      </c>
      <c r="DN29" s="34">
        <f>1/2*AH29</f>
        <v>175</v>
      </c>
      <c r="DO29" s="31">
        <v>600</v>
      </c>
      <c r="DP29" s="35">
        <f>MIN(DL29,DN29,DO29)</f>
        <v>96.811017645653266</v>
      </c>
      <c r="DQ29" s="75" t="s">
        <v>323</v>
      </c>
      <c r="DR29" s="115">
        <f>$H$14</f>
        <v>8</v>
      </c>
      <c r="DS29" s="76" t="s">
        <v>41</v>
      </c>
      <c r="DT29" s="88">
        <f>ROUNDDOWN(DP29,-1)</f>
        <v>90</v>
      </c>
      <c r="DW29" s="454"/>
      <c r="DX29" s="44" t="s">
        <v>194</v>
      </c>
      <c r="DY29" s="106">
        <v>4</v>
      </c>
      <c r="DZ29" s="25">
        <f>O29</f>
        <v>400</v>
      </c>
      <c r="EA29" s="26">
        <f>P29</f>
        <v>250</v>
      </c>
      <c r="EB29" s="3">
        <f>$H$13</f>
        <v>13</v>
      </c>
      <c r="EC29" s="57">
        <f>$H$14</f>
        <v>8</v>
      </c>
      <c r="ED29" s="3">
        <f>$H$15</f>
        <v>25</v>
      </c>
      <c r="EE29" s="150">
        <f t="shared" si="0"/>
        <v>3</v>
      </c>
      <c r="EF29" s="49">
        <f>MAX(EE29,EG29)</f>
        <v>3</v>
      </c>
      <c r="EG29" s="155">
        <v>2</v>
      </c>
      <c r="EH29" s="163">
        <f t="shared" si="1"/>
        <v>2</v>
      </c>
      <c r="EI29" s="49">
        <f>MAX(EH29,EJ29)</f>
        <v>2</v>
      </c>
      <c r="EJ29" s="163">
        <v>2</v>
      </c>
      <c r="EK29" s="150">
        <f t="shared" si="2"/>
        <v>5</v>
      </c>
      <c r="EL29" s="49">
        <f>MAX(EK29,EM29)</f>
        <v>5</v>
      </c>
      <c r="EM29" s="155">
        <v>2</v>
      </c>
      <c r="EN29" s="163">
        <f t="shared" si="3"/>
        <v>3</v>
      </c>
      <c r="EO29" s="49">
        <f>MAX(EN29,EP29)</f>
        <v>3</v>
      </c>
      <c r="EP29" s="155">
        <v>2</v>
      </c>
      <c r="EQ29" s="75" t="s">
        <v>323</v>
      </c>
      <c r="ER29" s="115">
        <f>$H$14</f>
        <v>8</v>
      </c>
      <c r="ES29" s="76" t="s">
        <v>41</v>
      </c>
      <c r="ET29" s="55">
        <f>DT29</f>
        <v>90</v>
      </c>
      <c r="EU29" s="55"/>
      <c r="EV29" s="499"/>
    </row>
    <row r="30" spans="1:152" x14ac:dyDescent="0.25">
      <c r="A30" s="138" t="s">
        <v>268</v>
      </c>
      <c r="B30" s="138"/>
      <c r="C30" s="138"/>
      <c r="G30" s="2" t="s">
        <v>116</v>
      </c>
      <c r="H30" s="2" t="s">
        <v>444</v>
      </c>
      <c r="L30" s="454"/>
      <c r="M30" s="80" t="s">
        <v>211</v>
      </c>
      <c r="N30" s="99"/>
      <c r="O30" s="56"/>
      <c r="P30" s="57"/>
      <c r="Q30" s="58"/>
      <c r="R30" s="59"/>
      <c r="S30" s="58"/>
      <c r="T30" s="57"/>
      <c r="U30" s="58"/>
      <c r="V30" s="59"/>
      <c r="W30" s="60"/>
      <c r="X30" s="128"/>
      <c r="Z30" s="489"/>
      <c r="AA30" s="18" t="s">
        <v>211</v>
      </c>
      <c r="AB30" s="19"/>
      <c r="AC30" s="61"/>
      <c r="AD30" s="20"/>
      <c r="AE30" s="21"/>
      <c r="AF30" s="20"/>
      <c r="AG30" s="21"/>
      <c r="AH30" s="20"/>
      <c r="AI30" s="21"/>
      <c r="AJ30" s="20"/>
      <c r="AK30" s="21"/>
      <c r="AL30" s="20"/>
      <c r="AM30" s="22"/>
      <c r="AN30" s="20"/>
      <c r="AO30" s="21"/>
      <c r="AP30" s="20"/>
      <c r="AQ30" s="21"/>
      <c r="AR30" s="20"/>
      <c r="AS30" s="21"/>
      <c r="AT30" s="148"/>
      <c r="AU30" s="34"/>
      <c r="AV30" s="154"/>
      <c r="AW30" s="21"/>
      <c r="AX30" s="18"/>
      <c r="AY30" s="20"/>
      <c r="AZ30" s="18"/>
      <c r="BA30" s="21"/>
      <c r="BB30" s="20"/>
      <c r="BC30" s="149"/>
      <c r="BD30" s="21"/>
      <c r="BE30" s="162"/>
      <c r="BF30" s="20"/>
      <c r="BG30" s="22"/>
      <c r="BH30" s="20"/>
      <c r="BI30" s="62"/>
      <c r="BJ30" s="3"/>
      <c r="BK30" s="489"/>
      <c r="BL30" s="18" t="s">
        <v>211</v>
      </c>
      <c r="BM30" s="19"/>
      <c r="BN30" s="15"/>
      <c r="BO30" s="79"/>
      <c r="BP30" s="15"/>
      <c r="BQ30" s="79"/>
      <c r="BR30" s="15"/>
      <c r="BS30" s="79"/>
      <c r="BT30" s="15"/>
      <c r="BU30" s="79"/>
      <c r="BV30" s="15"/>
      <c r="BW30" s="79"/>
      <c r="BX30" s="80"/>
      <c r="BY30" s="79"/>
      <c r="BZ30" s="15"/>
      <c r="CA30" s="79"/>
      <c r="CB30" s="15"/>
      <c r="CC30" s="79"/>
      <c r="CD30" s="15"/>
      <c r="CE30" s="162"/>
      <c r="CF30" s="21"/>
      <c r="CG30" s="162"/>
      <c r="CH30" s="15"/>
      <c r="CI30" s="81"/>
      <c r="CJ30" s="15"/>
      <c r="CK30" s="81"/>
      <c r="CL30" s="15"/>
      <c r="CM30" s="79"/>
      <c r="CN30" s="149"/>
      <c r="CO30" s="21"/>
      <c r="CP30" s="154"/>
      <c r="CQ30" s="79"/>
      <c r="CR30" s="80"/>
      <c r="CS30" s="79"/>
      <c r="CT30" s="80"/>
      <c r="CV30" s="489"/>
      <c r="CW30" s="18" t="s">
        <v>211</v>
      </c>
      <c r="CX30" s="19"/>
      <c r="CY30" s="20"/>
      <c r="CZ30" s="21"/>
      <c r="DA30" s="20"/>
      <c r="DB30" s="21"/>
      <c r="DC30" s="20"/>
      <c r="DD30" s="21"/>
      <c r="DE30" s="20"/>
      <c r="DF30" s="22"/>
      <c r="DG30" s="20"/>
      <c r="DH30" s="21"/>
      <c r="DI30" s="20"/>
      <c r="DJ30" s="21"/>
      <c r="DK30" s="20"/>
      <c r="DL30" s="21"/>
      <c r="DM30" s="18"/>
      <c r="DN30" s="21"/>
      <c r="DO30" s="20"/>
      <c r="DP30" s="21"/>
      <c r="DQ30" s="132"/>
      <c r="DR30" s="141"/>
      <c r="DS30" s="102"/>
      <c r="DT30" s="133"/>
      <c r="DW30" s="454"/>
      <c r="DX30" s="80" t="s">
        <v>211</v>
      </c>
      <c r="DY30" s="99"/>
      <c r="DZ30" s="56"/>
      <c r="EA30" s="57"/>
      <c r="EB30" s="79"/>
      <c r="EC30" s="15"/>
      <c r="ED30" s="79"/>
      <c r="EE30" s="148">
        <f t="shared" si="0"/>
        <v>0</v>
      </c>
      <c r="EF30" s="34"/>
      <c r="EG30" s="153"/>
      <c r="EH30" s="160">
        <f t="shared" si="1"/>
        <v>0</v>
      </c>
      <c r="EI30" s="34"/>
      <c r="EJ30" s="160"/>
      <c r="EK30" s="148">
        <f t="shared" si="2"/>
        <v>0</v>
      </c>
      <c r="EL30" s="34"/>
      <c r="EM30" s="153"/>
      <c r="EN30" s="160">
        <f t="shared" si="3"/>
        <v>0</v>
      </c>
      <c r="EO30" s="34"/>
      <c r="EP30" s="160"/>
      <c r="EQ30" s="132"/>
      <c r="ER30" s="141"/>
      <c r="ES30" s="102"/>
      <c r="ET30" s="133"/>
      <c r="EU30" s="133"/>
      <c r="EV30" s="499" t="s">
        <v>397</v>
      </c>
    </row>
    <row r="31" spans="1:152" x14ac:dyDescent="0.25">
      <c r="A31" s="138" t="s">
        <v>269</v>
      </c>
      <c r="B31" s="138"/>
      <c r="C31" s="138"/>
      <c r="G31" s="2" t="s">
        <v>187</v>
      </c>
      <c r="H31" s="186">
        <v>50</v>
      </c>
      <c r="I31" s="112" t="s">
        <v>109</v>
      </c>
      <c r="L31" s="455"/>
      <c r="M31" s="44" t="s">
        <v>194</v>
      </c>
      <c r="N31" s="106">
        <v>2.5</v>
      </c>
      <c r="O31" s="25">
        <f>'QE &amp; MOMEN'!S42*1000</f>
        <v>400</v>
      </c>
      <c r="P31" s="26">
        <f>'QE &amp; MOMEN'!V42*1000</f>
        <v>250</v>
      </c>
      <c r="Q31" s="27">
        <f>'QE &amp; MOMEN'!AA42</f>
        <v>5.7287499999999989</v>
      </c>
      <c r="R31" s="24">
        <f>'QE &amp; MOMEN'!AA42</f>
        <v>5.7287499999999989</v>
      </c>
      <c r="S31" s="27">
        <f>'QE &amp; MOMEN'!AB42</f>
        <v>13.748999999999999</v>
      </c>
      <c r="T31" s="26">
        <f>$H$4</f>
        <v>0.85</v>
      </c>
      <c r="U31" s="27">
        <f>T31*0.85*$H$7/$H$8*600/(600+$H$8)</f>
        <v>2.7093749999999993E-2</v>
      </c>
      <c r="V31" s="24">
        <f>0.75*U31*$H$8*(1-(0.5*0.75*U31*$H$8/(0.85*$H$7)))</f>
        <v>6.5736210937499981</v>
      </c>
      <c r="W31" s="28">
        <f>$H$27</f>
        <v>0.8</v>
      </c>
      <c r="X31" s="128"/>
      <c r="Z31" s="490"/>
      <c r="AA31" s="52" t="s">
        <v>194</v>
      </c>
      <c r="AB31" s="29">
        <v>2.5</v>
      </c>
      <c r="AC31" s="65">
        <f>O31</f>
        <v>400</v>
      </c>
      <c r="AD31" s="48">
        <f>P31</f>
        <v>250</v>
      </c>
      <c r="AE31" s="66">
        <f>Q31</f>
        <v>5.7287499999999989</v>
      </c>
      <c r="AF31" s="67">
        <f>AE31/W31</f>
        <v>7.1609374999999984</v>
      </c>
      <c r="AG31" s="49">
        <v>50</v>
      </c>
      <c r="AH31" s="48">
        <f>AC31-AG31</f>
        <v>350</v>
      </c>
      <c r="AI31" s="39">
        <f>AF31*10^6/(AD31*AH31^2)</f>
        <v>0.23382653061224484</v>
      </c>
      <c r="AJ31" s="48">
        <f>$H$13</f>
        <v>13</v>
      </c>
      <c r="AK31" s="49">
        <f>$H$14</f>
        <v>8</v>
      </c>
      <c r="AL31" s="48">
        <f>$H$15</f>
        <v>25</v>
      </c>
      <c r="AM31" s="51" t="str">
        <f>IF(AI31&lt;=V31,"OK","NG")</f>
        <v>OK</v>
      </c>
      <c r="AN31" s="68">
        <f>0.85*($H$7/$H$8)*(1-(SQRT(1-2*AI31/(0.85*$H$7))))</f>
        <v>5.8781837778007875E-4</v>
      </c>
      <c r="AO31" s="69">
        <f>1.4/$H$8</f>
        <v>3.4999999999999996E-3</v>
      </c>
      <c r="AP31" s="68">
        <f>0.5*U31</f>
        <v>1.3546874999999996E-2</v>
      </c>
      <c r="AQ31" s="69">
        <f>MAX(AN31:AO31)</f>
        <v>3.4999999999999996E-3</v>
      </c>
      <c r="AR31" s="67">
        <f>AQ31*AD31*AH31</f>
        <v>306.24999999999994</v>
      </c>
      <c r="AS31" s="39">
        <f>AR31/((22/7)/4*AJ31^2)</f>
        <v>2.3063474986551906</v>
      </c>
      <c r="AT31" s="150">
        <f>ROUNDUP(AS31,0)</f>
        <v>3</v>
      </c>
      <c r="AU31" s="49">
        <f>MAX(AT31,AV31)</f>
        <v>3</v>
      </c>
      <c r="AV31" s="155">
        <v>2</v>
      </c>
      <c r="AW31" s="39">
        <f>AU31*(22/7)/4*AJ31^2</f>
        <v>398.35714285714289</v>
      </c>
      <c r="AX31" s="52" t="str">
        <f>IF(AR31&lt;=AW31,"OK","NG")</f>
        <v>OK</v>
      </c>
      <c r="AY31" s="48">
        <f>(AD31-(2*AL31+2*AK31+AU31*AJ31))/(AU31-1)</f>
        <v>72.5</v>
      </c>
      <c r="AZ31" s="52" t="str">
        <f>IF(AY31&gt;= 25,"OK","NG")</f>
        <v>OK</v>
      </c>
      <c r="BA31" s="49">
        <f>AR31/2</f>
        <v>153.12499999999997</v>
      </c>
      <c r="BB31" s="67">
        <f>BA31/((22/7)/4*AJ31^2)</f>
        <v>1.1531737493275953</v>
      </c>
      <c r="BC31" s="150">
        <f>ROUNDUP(BB31,0)</f>
        <v>2</v>
      </c>
      <c r="BD31" s="49">
        <f>MAX(BC31,BE31)</f>
        <v>2</v>
      </c>
      <c r="BE31" s="163">
        <v>2</v>
      </c>
      <c r="BF31" s="67">
        <f>BD31*(22/7)/4*AJ31^2</f>
        <v>265.57142857142856</v>
      </c>
      <c r="BG31" s="51" t="str">
        <f>IF(BA31&lt;=BF31,"OK","NG")</f>
        <v>OK</v>
      </c>
      <c r="BH31" s="48">
        <f>(AD31-(2*AL31+2*AK31+BD31*AJ31))/(BD31-1)</f>
        <v>158</v>
      </c>
      <c r="BI31" s="70" t="str">
        <f>IF(BH31&gt;= 25,"OK","NG")</f>
        <v>OK</v>
      </c>
      <c r="BK31" s="490"/>
      <c r="BL31" s="52" t="s">
        <v>194</v>
      </c>
      <c r="BM31" s="29">
        <v>2.5</v>
      </c>
      <c r="BN31" s="26">
        <f>O31</f>
        <v>400</v>
      </c>
      <c r="BO31" s="42">
        <f>P31</f>
        <v>250</v>
      </c>
      <c r="BP31" s="24">
        <f>R31</f>
        <v>5.7287499999999989</v>
      </c>
      <c r="BQ31" s="28">
        <f>BP31/W31</f>
        <v>7.1609374999999984</v>
      </c>
      <c r="BR31" s="26">
        <v>50</v>
      </c>
      <c r="BS31" s="42">
        <f>BN31-BR31</f>
        <v>350</v>
      </c>
      <c r="BT31" s="43">
        <f>BQ31*10^6/(BO31*BS31^2)</f>
        <v>0.23382653061224484</v>
      </c>
      <c r="BU31" s="42">
        <f>$H$13</f>
        <v>13</v>
      </c>
      <c r="BV31" s="26">
        <f>$H$14</f>
        <v>8</v>
      </c>
      <c r="BW31" s="42">
        <f>$H$15</f>
        <v>25</v>
      </c>
      <c r="BX31" s="44" t="str">
        <f>IF(BT31&lt;=V31,"OK","NG")</f>
        <v>OK</v>
      </c>
      <c r="BY31" s="45">
        <f>0.85*($H$7/$H$8)*(1-(SQRT(1-2*BT31/(0.85*$H$7))))</f>
        <v>5.8781837778007875E-4</v>
      </c>
      <c r="BZ31" s="46">
        <f>1.4/$H$8</f>
        <v>3.4999999999999996E-3</v>
      </c>
      <c r="CA31" s="45">
        <f>0.5*U31</f>
        <v>1.3546874999999996E-2</v>
      </c>
      <c r="CB31" s="46">
        <f>MAX(BY31:BZ31)</f>
        <v>3.4999999999999996E-3</v>
      </c>
      <c r="CC31" s="28">
        <f>CB31*BO31*BS31</f>
        <v>306.24999999999994</v>
      </c>
      <c r="CD31" s="43">
        <f>CC31/((22/7)/4*BU31^2)</f>
        <v>2.3063474986551906</v>
      </c>
      <c r="CE31" s="163">
        <f>ROUNDUP(CD31,0)</f>
        <v>3</v>
      </c>
      <c r="CF31" s="49">
        <f>MAX(CE31,CG31)</f>
        <v>3</v>
      </c>
      <c r="CG31" s="163">
        <v>2</v>
      </c>
      <c r="CH31" s="43">
        <f>CF31*(22/7)/4*BU31^2</f>
        <v>398.35714285714289</v>
      </c>
      <c r="CI31" s="47" t="str">
        <f>IF(CC31&lt;=CH31,"OK","NG")</f>
        <v>OK</v>
      </c>
      <c r="CJ31" s="26">
        <f>(BO31-(2*BW31+2*BV31+CF31*BU31))/(CF31-1)</f>
        <v>72.5</v>
      </c>
      <c r="CK31" s="47" t="str">
        <f>IF(CJ31&gt;= 25,"OK","NG")</f>
        <v>OK</v>
      </c>
      <c r="CL31" s="26">
        <f>CC31/2</f>
        <v>153.12499999999997</v>
      </c>
      <c r="CM31" s="28">
        <f>CL31/((22/7)/4*BU31^2)</f>
        <v>1.1531737493275953</v>
      </c>
      <c r="CN31" s="150">
        <f>ROUNDUP(CM31,0)</f>
        <v>2</v>
      </c>
      <c r="CO31" s="49">
        <f>MAX(CN31,CP31)</f>
        <v>2</v>
      </c>
      <c r="CP31" s="155">
        <v>2</v>
      </c>
      <c r="CQ31" s="28">
        <f>CO31*(22/7)/4*BU31^2</f>
        <v>265.57142857142856</v>
      </c>
      <c r="CR31" s="44" t="str">
        <f>IF(CL31&lt;=CQ31,"OK","NG")</f>
        <v>OK</v>
      </c>
      <c r="CS31" s="42">
        <f>(BO31-(2*BW31+2*BV31+CO31*BU31))/(CO31-1)</f>
        <v>158</v>
      </c>
      <c r="CT31" s="44" t="str">
        <f>IF(CS31&gt;= 25,"OK","NG")</f>
        <v>OK</v>
      </c>
      <c r="CV31" s="490"/>
      <c r="CW31" s="52" t="s">
        <v>194</v>
      </c>
      <c r="CX31" s="29">
        <v>2.5</v>
      </c>
      <c r="CY31" s="48">
        <f>O31</f>
        <v>400</v>
      </c>
      <c r="CZ31" s="49">
        <f>P31</f>
        <v>250</v>
      </c>
      <c r="DA31" s="50">
        <f>S31</f>
        <v>13.748999999999999</v>
      </c>
      <c r="DB31" s="49">
        <v>0.6</v>
      </c>
      <c r="DC31" s="48">
        <f>$H$9</f>
        <v>240</v>
      </c>
      <c r="DD31" s="48">
        <f>1/6*SQRT($H$7)*CZ31*BS31*0.001</f>
        <v>72.916666666666657</v>
      </c>
      <c r="DE31" s="48">
        <f>DB31*DD31</f>
        <v>43.749999999999993</v>
      </c>
      <c r="DF31" s="52" t="str">
        <f>IF(DA31&lt;=DE31,"Tul. Gerser Praktis","Perlu Tul Geser")</f>
        <v>Tul. Gerser Praktis</v>
      </c>
      <c r="DG31" s="48"/>
      <c r="DH31" s="49"/>
      <c r="DI31" s="48"/>
      <c r="DJ31" s="49"/>
      <c r="DK31" s="48"/>
      <c r="DL31" s="49"/>
      <c r="DM31" s="52"/>
      <c r="DN31" s="49"/>
      <c r="DO31" s="48"/>
      <c r="DP31" s="49">
        <v>200</v>
      </c>
      <c r="DQ31" s="53" t="s">
        <v>323</v>
      </c>
      <c r="DR31" s="143">
        <f>$H$14</f>
        <v>8</v>
      </c>
      <c r="DS31" s="54" t="s">
        <v>41</v>
      </c>
      <c r="DT31" s="55">
        <f>DP31</f>
        <v>200</v>
      </c>
      <c r="DW31" s="455"/>
      <c r="DX31" s="44" t="s">
        <v>194</v>
      </c>
      <c r="DY31" s="106">
        <v>2.5</v>
      </c>
      <c r="DZ31" s="25">
        <f>O31</f>
        <v>400</v>
      </c>
      <c r="EA31" s="26">
        <f>P31</f>
        <v>250</v>
      </c>
      <c r="EB31" s="42">
        <f>$H$13</f>
        <v>13</v>
      </c>
      <c r="EC31" s="26">
        <f>$H$14</f>
        <v>8</v>
      </c>
      <c r="ED31" s="42">
        <f>$H$15</f>
        <v>25</v>
      </c>
      <c r="EE31" s="150">
        <f t="shared" si="0"/>
        <v>3</v>
      </c>
      <c r="EF31" s="49">
        <f>MAX(EE31,EG31)</f>
        <v>3</v>
      </c>
      <c r="EG31" s="155">
        <v>2</v>
      </c>
      <c r="EH31" s="163">
        <f t="shared" si="1"/>
        <v>2</v>
      </c>
      <c r="EI31" s="49">
        <f>MAX(EH31,EJ31)</f>
        <v>2</v>
      </c>
      <c r="EJ31" s="163">
        <v>2</v>
      </c>
      <c r="EK31" s="150">
        <f t="shared" si="2"/>
        <v>3</v>
      </c>
      <c r="EL31" s="49">
        <f>MAX(EK31,EM31)</f>
        <v>3</v>
      </c>
      <c r="EM31" s="155">
        <v>2</v>
      </c>
      <c r="EN31" s="163">
        <f t="shared" si="3"/>
        <v>2</v>
      </c>
      <c r="EO31" s="49">
        <f>MAX(EN31,EP31)</f>
        <v>2</v>
      </c>
      <c r="EP31" s="155">
        <v>2</v>
      </c>
      <c r="EQ31" s="53" t="s">
        <v>323</v>
      </c>
      <c r="ER31" s="143">
        <f>$H$14</f>
        <v>8</v>
      </c>
      <c r="ES31" s="54" t="s">
        <v>41</v>
      </c>
      <c r="ET31" s="55">
        <f>DT31</f>
        <v>200</v>
      </c>
      <c r="EU31" s="55"/>
      <c r="EV31" s="499"/>
    </row>
    <row r="32" spans="1:152" x14ac:dyDescent="0.25">
      <c r="A32" s="138" t="s">
        <v>270</v>
      </c>
      <c r="B32" s="138"/>
      <c r="C32" s="138"/>
      <c r="G32" s="2" t="s">
        <v>111</v>
      </c>
      <c r="H32" s="2" t="s">
        <v>271</v>
      </c>
      <c r="I32" s="112" t="s">
        <v>109</v>
      </c>
      <c r="U32" s="58"/>
      <c r="V32" s="109"/>
      <c r="AR32" s="3"/>
      <c r="AS32" s="3"/>
      <c r="AT32" s="160"/>
      <c r="AV32" s="3"/>
      <c r="DB32" s="109"/>
    </row>
    <row r="33" spans="1:54" x14ac:dyDescent="0.25">
      <c r="A33" s="138" t="s">
        <v>272</v>
      </c>
      <c r="B33" s="138"/>
      <c r="C33" s="138"/>
      <c r="G33" s="2" t="s">
        <v>119</v>
      </c>
      <c r="H33" s="2" t="s">
        <v>445</v>
      </c>
      <c r="AR33" s="3"/>
      <c r="AS33" s="72"/>
      <c r="AT33" s="161"/>
      <c r="AU33" s="72"/>
      <c r="AV33" s="72"/>
      <c r="BB33" s="112" t="s">
        <v>437</v>
      </c>
    </row>
    <row r="34" spans="1:54" x14ac:dyDescent="0.25">
      <c r="A34" s="138"/>
      <c r="B34" s="138"/>
      <c r="C34" s="138"/>
      <c r="G34" s="184" t="s">
        <v>300</v>
      </c>
      <c r="H34" s="184" t="s">
        <v>301</v>
      </c>
    </row>
    <row r="35" spans="1:54" x14ac:dyDescent="0.25">
      <c r="A35" s="138" t="s">
        <v>273</v>
      </c>
      <c r="B35" s="138"/>
      <c r="C35" s="138"/>
      <c r="G35" s="2" t="s">
        <v>91</v>
      </c>
      <c r="H35" s="2" t="s">
        <v>446</v>
      </c>
    </row>
    <row r="36" spans="1:54" x14ac:dyDescent="0.25">
      <c r="A36" s="138" t="s">
        <v>274</v>
      </c>
      <c r="B36" s="138"/>
      <c r="C36" s="138"/>
      <c r="G36" s="2" t="s">
        <v>92</v>
      </c>
      <c r="H36" s="2" t="s">
        <v>281</v>
      </c>
    </row>
    <row r="37" spans="1:54" x14ac:dyDescent="0.25">
      <c r="A37" s="138" t="s">
        <v>274</v>
      </c>
      <c r="B37" s="138"/>
      <c r="C37" s="138"/>
      <c r="G37" s="2" t="s">
        <v>92</v>
      </c>
      <c r="H37" s="2" t="s">
        <v>275</v>
      </c>
    </row>
    <row r="38" spans="1:54" x14ac:dyDescent="0.25">
      <c r="A38" s="138" t="s">
        <v>124</v>
      </c>
      <c r="B38" s="138"/>
      <c r="C38" s="138"/>
      <c r="G38" s="2" t="s">
        <v>91</v>
      </c>
      <c r="H38" s="2" t="s">
        <v>123</v>
      </c>
    </row>
    <row r="39" spans="1:54" x14ac:dyDescent="0.25">
      <c r="A39" s="138" t="s">
        <v>420</v>
      </c>
      <c r="B39" s="138"/>
      <c r="C39" s="138"/>
      <c r="G39" s="2" t="s">
        <v>126</v>
      </c>
      <c r="H39" s="2" t="s">
        <v>276</v>
      </c>
      <c r="I39" s="270" t="s">
        <v>128</v>
      </c>
    </row>
    <row r="40" spans="1:54" x14ac:dyDescent="0.25">
      <c r="A40" s="138" t="s">
        <v>421</v>
      </c>
      <c r="B40" s="138"/>
      <c r="C40" s="138"/>
      <c r="G40" s="2" t="s">
        <v>277</v>
      </c>
      <c r="H40" s="2" t="s">
        <v>447</v>
      </c>
      <c r="I40" s="112" t="s">
        <v>491</v>
      </c>
    </row>
    <row r="41" spans="1:54" x14ac:dyDescent="0.25">
      <c r="A41" s="138" t="s">
        <v>422</v>
      </c>
      <c r="B41" s="138"/>
      <c r="C41" s="138"/>
      <c r="G41" s="2" t="s">
        <v>277</v>
      </c>
      <c r="H41" s="2" t="s">
        <v>123</v>
      </c>
      <c r="I41" s="112" t="s">
        <v>491</v>
      </c>
    </row>
    <row r="42" spans="1:54" x14ac:dyDescent="0.25">
      <c r="A42" s="138" t="s">
        <v>423</v>
      </c>
      <c r="B42" s="138"/>
      <c r="C42" s="138"/>
      <c r="G42" s="2" t="s">
        <v>139</v>
      </c>
      <c r="H42" s="2" t="s">
        <v>278</v>
      </c>
      <c r="I42" s="270" t="s">
        <v>128</v>
      </c>
    </row>
    <row r="43" spans="1:54" x14ac:dyDescent="0.25">
      <c r="A43" s="138"/>
      <c r="B43" s="138"/>
      <c r="C43" s="138"/>
      <c r="G43" s="184" t="s">
        <v>300</v>
      </c>
      <c r="H43" s="184" t="s">
        <v>418</v>
      </c>
    </row>
    <row r="44" spans="1:54" x14ac:dyDescent="0.25">
      <c r="A44" s="138" t="s">
        <v>424</v>
      </c>
      <c r="G44" s="2" t="s">
        <v>303</v>
      </c>
      <c r="H44" s="2" t="s">
        <v>416</v>
      </c>
      <c r="I44" s="112" t="s">
        <v>109</v>
      </c>
    </row>
    <row r="45" spans="1:54" x14ac:dyDescent="0.25">
      <c r="A45" s="138"/>
      <c r="G45" s="184" t="s">
        <v>300</v>
      </c>
      <c r="H45" s="184" t="s">
        <v>419</v>
      </c>
    </row>
    <row r="46" spans="1:54" x14ac:dyDescent="0.25">
      <c r="A46" s="138" t="s">
        <v>425</v>
      </c>
      <c r="B46" s="138"/>
      <c r="C46" s="138"/>
      <c r="G46" s="2" t="s">
        <v>308</v>
      </c>
      <c r="H46" s="2" t="s">
        <v>276</v>
      </c>
      <c r="I46" s="270" t="s">
        <v>128</v>
      </c>
    </row>
    <row r="47" spans="1:54" x14ac:dyDescent="0.25">
      <c r="A47" s="138" t="s">
        <v>426</v>
      </c>
      <c r="B47" s="138"/>
      <c r="C47" s="138"/>
      <c r="G47" s="2" t="s">
        <v>311</v>
      </c>
      <c r="H47" s="2" t="s">
        <v>447</v>
      </c>
      <c r="I47" s="112" t="s">
        <v>491</v>
      </c>
    </row>
    <row r="48" spans="1:54" x14ac:dyDescent="0.25">
      <c r="A48" s="138" t="s">
        <v>427</v>
      </c>
      <c r="B48" s="138"/>
      <c r="C48" s="138"/>
      <c r="G48" s="2" t="s">
        <v>311</v>
      </c>
      <c r="H48" s="2" t="s">
        <v>123</v>
      </c>
      <c r="I48" s="112" t="s">
        <v>491</v>
      </c>
    </row>
    <row r="49" spans="1:152" x14ac:dyDescent="0.25">
      <c r="A49" s="138" t="s">
        <v>428</v>
      </c>
      <c r="B49" s="138"/>
      <c r="C49" s="138"/>
      <c r="G49" s="2" t="s">
        <v>309</v>
      </c>
      <c r="H49" s="2" t="s">
        <v>278</v>
      </c>
      <c r="I49" s="270" t="s">
        <v>128</v>
      </c>
    </row>
    <row r="50" spans="1:152" x14ac:dyDescent="0.25">
      <c r="A50" s="138"/>
      <c r="B50" s="138"/>
      <c r="C50" s="138"/>
      <c r="G50" s="184" t="s">
        <v>300</v>
      </c>
      <c r="H50" s="184" t="s">
        <v>418</v>
      </c>
    </row>
    <row r="51" spans="1:152" x14ac:dyDescent="0.25">
      <c r="A51" s="138" t="s">
        <v>429</v>
      </c>
      <c r="G51" s="2" t="s">
        <v>430</v>
      </c>
      <c r="H51" s="2" t="s">
        <v>416</v>
      </c>
      <c r="I51" s="112" t="s">
        <v>109</v>
      </c>
    </row>
    <row r="52" spans="1:152" x14ac:dyDescent="0.25">
      <c r="A52" s="138"/>
      <c r="G52" s="184" t="s">
        <v>300</v>
      </c>
      <c r="H52" s="184" t="s">
        <v>419</v>
      </c>
    </row>
    <row r="53" spans="1:152" x14ac:dyDescent="0.25">
      <c r="L53" s="125" t="s">
        <v>304</v>
      </c>
      <c r="M53" s="125"/>
      <c r="N53" s="125"/>
    </row>
    <row r="54" spans="1:152" x14ac:dyDescent="0.25">
      <c r="A54" s="139" t="s">
        <v>279</v>
      </c>
      <c r="B54" s="138"/>
      <c r="C54" s="138"/>
      <c r="D54" s="138"/>
      <c r="L54" s="125" t="s">
        <v>335</v>
      </c>
      <c r="M54" s="125"/>
      <c r="N54" s="125"/>
      <c r="O54" s="125"/>
      <c r="Y54" s="64"/>
      <c r="CV54" s="125" t="s">
        <v>339</v>
      </c>
    </row>
    <row r="55" spans="1:152" x14ac:dyDescent="0.25">
      <c r="A55" s="138" t="s">
        <v>280</v>
      </c>
      <c r="B55" s="138"/>
      <c r="C55" s="138"/>
      <c r="G55" s="2" t="s">
        <v>116</v>
      </c>
      <c r="H55" s="2" t="s">
        <v>448</v>
      </c>
      <c r="L55" s="125" t="s">
        <v>336</v>
      </c>
      <c r="Z55" s="125" t="s">
        <v>337</v>
      </c>
      <c r="AA55" s="125"/>
      <c r="AB55" s="125"/>
      <c r="BK55" s="125" t="s">
        <v>338</v>
      </c>
      <c r="CV55" s="125" t="s">
        <v>334</v>
      </c>
      <c r="CY55" s="125"/>
      <c r="CZ55" s="125"/>
      <c r="DW55" s="125" t="s">
        <v>512</v>
      </c>
    </row>
    <row r="56" spans="1:152" x14ac:dyDescent="0.25">
      <c r="A56" s="138" t="s">
        <v>269</v>
      </c>
      <c r="B56" s="138"/>
      <c r="C56" s="138"/>
      <c r="G56" s="2" t="s">
        <v>107</v>
      </c>
      <c r="H56" s="186">
        <v>50</v>
      </c>
      <c r="I56" s="112" t="s">
        <v>109</v>
      </c>
      <c r="AA56" s="125"/>
      <c r="AB56" s="125"/>
      <c r="AC56" s="125"/>
      <c r="CX56" s="125"/>
      <c r="CY56" s="125"/>
      <c r="CZ56" s="125"/>
      <c r="DA56" s="125"/>
      <c r="EA56" s="134"/>
    </row>
    <row r="57" spans="1:152" x14ac:dyDescent="0.25">
      <c r="A57" s="138" t="s">
        <v>270</v>
      </c>
      <c r="B57" s="138"/>
      <c r="C57" s="138"/>
      <c r="G57" s="2" t="s">
        <v>111</v>
      </c>
      <c r="H57" s="2" t="s">
        <v>271</v>
      </c>
      <c r="I57" s="112" t="s">
        <v>109</v>
      </c>
      <c r="DW57" s="447" t="s">
        <v>173</v>
      </c>
      <c r="DX57" s="448"/>
      <c r="DY57" s="449"/>
      <c r="DZ57" s="449" t="s">
        <v>176</v>
      </c>
      <c r="EA57" s="493" t="s">
        <v>178</v>
      </c>
      <c r="EB57" s="426" t="s">
        <v>306</v>
      </c>
      <c r="EC57" s="426" t="s">
        <v>307</v>
      </c>
      <c r="ED57" s="449" t="s">
        <v>84</v>
      </c>
      <c r="EE57" s="494" t="s">
        <v>502</v>
      </c>
      <c r="EF57" s="495"/>
      <c r="EG57" s="495"/>
      <c r="EH57" s="495"/>
      <c r="EI57" s="495"/>
      <c r="EJ57" s="496"/>
      <c r="EK57" s="494" t="s">
        <v>503</v>
      </c>
      <c r="EL57" s="495"/>
      <c r="EM57" s="495"/>
      <c r="EN57" s="495"/>
      <c r="EO57" s="495"/>
      <c r="EP57" s="496"/>
      <c r="EQ57" s="483" t="s">
        <v>319</v>
      </c>
      <c r="ER57" s="483"/>
      <c r="ES57" s="483"/>
      <c r="ET57" s="484"/>
      <c r="EU57" s="277"/>
      <c r="EV57" s="503" t="s">
        <v>504</v>
      </c>
    </row>
    <row r="58" spans="1:152" ht="15.75" customHeight="1" x14ac:dyDescent="0.25">
      <c r="A58" s="138" t="s">
        <v>272</v>
      </c>
      <c r="B58" s="138"/>
      <c r="C58" s="138"/>
      <c r="G58" s="2" t="s">
        <v>119</v>
      </c>
      <c r="H58" s="2" t="s">
        <v>445</v>
      </c>
      <c r="L58" s="447" t="s">
        <v>173</v>
      </c>
      <c r="M58" s="448"/>
      <c r="N58" s="449"/>
      <c r="O58" s="11" t="s">
        <v>176</v>
      </c>
      <c r="P58" s="93" t="s">
        <v>178</v>
      </c>
      <c r="Q58" s="93" t="s">
        <v>256</v>
      </c>
      <c r="R58" s="11" t="s">
        <v>258</v>
      </c>
      <c r="S58" s="11" t="s">
        <v>260</v>
      </c>
      <c r="T58" s="426" t="s">
        <v>4</v>
      </c>
      <c r="U58" s="426" t="s">
        <v>85</v>
      </c>
      <c r="V58" s="426" t="s">
        <v>265</v>
      </c>
      <c r="W58" s="426" t="s">
        <v>86</v>
      </c>
      <c r="Z58" s="447" t="s">
        <v>173</v>
      </c>
      <c r="AA58" s="448"/>
      <c r="AB58" s="448"/>
      <c r="AC58" s="11" t="s">
        <v>176</v>
      </c>
      <c r="AD58" s="93" t="s">
        <v>178</v>
      </c>
      <c r="AE58" s="93" t="s">
        <v>256</v>
      </c>
      <c r="AF58" s="11" t="s">
        <v>116</v>
      </c>
      <c r="AG58" s="11" t="s">
        <v>187</v>
      </c>
      <c r="AH58" s="11" t="s">
        <v>111</v>
      </c>
      <c r="AI58" s="426" t="s">
        <v>119</v>
      </c>
      <c r="AJ58" s="11" t="s">
        <v>306</v>
      </c>
      <c r="AK58" s="11" t="s">
        <v>307</v>
      </c>
      <c r="AL58" s="11" t="s">
        <v>84</v>
      </c>
      <c r="AM58" s="94" t="s">
        <v>300</v>
      </c>
      <c r="AN58" s="426" t="s">
        <v>91</v>
      </c>
      <c r="AO58" s="426" t="s">
        <v>92</v>
      </c>
      <c r="AP58" s="426" t="s">
        <v>93</v>
      </c>
      <c r="AQ58" s="11" t="s">
        <v>91</v>
      </c>
      <c r="AR58" s="11" t="s">
        <v>126</v>
      </c>
      <c r="AS58" s="426" t="s">
        <v>277</v>
      </c>
      <c r="AT58" s="482" t="s">
        <v>435</v>
      </c>
      <c r="AU58" s="483"/>
      <c r="AV58" s="484"/>
      <c r="AW58" s="95" t="s">
        <v>139</v>
      </c>
      <c r="AX58" s="94" t="s">
        <v>300</v>
      </c>
      <c r="AY58" s="11" t="s">
        <v>130</v>
      </c>
      <c r="AZ58" s="96" t="s">
        <v>300</v>
      </c>
      <c r="BA58" s="11" t="s">
        <v>308</v>
      </c>
      <c r="BB58" s="426" t="s">
        <v>311</v>
      </c>
      <c r="BC58" s="482" t="s">
        <v>436</v>
      </c>
      <c r="BD58" s="483"/>
      <c r="BE58" s="484"/>
      <c r="BF58" s="95" t="s">
        <v>309</v>
      </c>
      <c r="BG58" s="94" t="s">
        <v>300</v>
      </c>
      <c r="BH58" s="11" t="s">
        <v>312</v>
      </c>
      <c r="BI58" s="96" t="s">
        <v>300</v>
      </c>
      <c r="BK58" s="447" t="s">
        <v>173</v>
      </c>
      <c r="BL58" s="448"/>
      <c r="BM58" s="448"/>
      <c r="BN58" s="11" t="s">
        <v>176</v>
      </c>
      <c r="BO58" s="93" t="s">
        <v>178</v>
      </c>
      <c r="BP58" s="93" t="s">
        <v>258</v>
      </c>
      <c r="BQ58" s="11" t="s">
        <v>116</v>
      </c>
      <c r="BR58" s="11" t="s">
        <v>187</v>
      </c>
      <c r="BS58" s="11" t="s">
        <v>111</v>
      </c>
      <c r="BT58" s="426" t="s">
        <v>119</v>
      </c>
      <c r="BU58" s="11" t="s">
        <v>306</v>
      </c>
      <c r="BV58" s="11" t="s">
        <v>307</v>
      </c>
      <c r="BW58" s="11" t="s">
        <v>84</v>
      </c>
      <c r="BX58" s="94" t="s">
        <v>300</v>
      </c>
      <c r="BY58" s="426" t="s">
        <v>91</v>
      </c>
      <c r="BZ58" s="426" t="s">
        <v>92</v>
      </c>
      <c r="CA58" s="426" t="s">
        <v>93</v>
      </c>
      <c r="CB58" s="11" t="s">
        <v>91</v>
      </c>
      <c r="CC58" s="11" t="s">
        <v>126</v>
      </c>
      <c r="CD58" s="426" t="s">
        <v>277</v>
      </c>
      <c r="CE58" s="482" t="s">
        <v>435</v>
      </c>
      <c r="CF58" s="483"/>
      <c r="CG58" s="484"/>
      <c r="CH58" s="95" t="s">
        <v>139</v>
      </c>
      <c r="CI58" s="94" t="s">
        <v>300</v>
      </c>
      <c r="CJ58" s="11" t="s">
        <v>130</v>
      </c>
      <c r="CK58" s="96" t="s">
        <v>300</v>
      </c>
      <c r="CL58" s="11" t="s">
        <v>308</v>
      </c>
      <c r="CM58" s="426" t="s">
        <v>311</v>
      </c>
      <c r="CN58" s="482" t="s">
        <v>436</v>
      </c>
      <c r="CO58" s="483"/>
      <c r="CP58" s="484"/>
      <c r="CQ58" s="95" t="s">
        <v>309</v>
      </c>
      <c r="CR58" s="94" t="s">
        <v>300</v>
      </c>
      <c r="CS58" s="11" t="s">
        <v>312</v>
      </c>
      <c r="CT58" s="96" t="s">
        <v>300</v>
      </c>
      <c r="CV58" s="447" t="s">
        <v>173</v>
      </c>
      <c r="CW58" s="448"/>
      <c r="CX58" s="449"/>
      <c r="CY58" s="11" t="s">
        <v>176</v>
      </c>
      <c r="CZ58" s="93" t="s">
        <v>178</v>
      </c>
      <c r="DA58" s="93" t="s">
        <v>260</v>
      </c>
      <c r="DB58" s="426" t="s">
        <v>86</v>
      </c>
      <c r="DC58" s="11" t="s">
        <v>7</v>
      </c>
      <c r="DD58" s="11" t="s">
        <v>287</v>
      </c>
      <c r="DE58" s="127" t="s">
        <v>433</v>
      </c>
      <c r="DF58" s="94" t="s">
        <v>300</v>
      </c>
      <c r="DG58" s="11" t="s">
        <v>320</v>
      </c>
      <c r="DH58" s="11" t="s">
        <v>292</v>
      </c>
      <c r="DI58" s="426" t="s">
        <v>266</v>
      </c>
      <c r="DJ58" s="11" t="s">
        <v>307</v>
      </c>
      <c r="DK58" s="11" t="s">
        <v>294</v>
      </c>
      <c r="DL58" s="95" t="s">
        <v>321</v>
      </c>
      <c r="DM58" s="96" t="s">
        <v>322</v>
      </c>
      <c r="DN58" s="11" t="s">
        <v>324</v>
      </c>
      <c r="DO58" s="11" t="s">
        <v>133</v>
      </c>
      <c r="DP58" s="11" t="s">
        <v>318</v>
      </c>
      <c r="DQ58" s="482" t="s">
        <v>319</v>
      </c>
      <c r="DR58" s="483"/>
      <c r="DS58" s="483"/>
      <c r="DT58" s="484"/>
      <c r="DW58" s="477"/>
      <c r="DX58" s="493"/>
      <c r="DY58" s="478"/>
      <c r="DZ58" s="478"/>
      <c r="EA58" s="493"/>
      <c r="EB58" s="465"/>
      <c r="EC58" s="465"/>
      <c r="ED58" s="478"/>
      <c r="EE58" s="497" t="s">
        <v>435</v>
      </c>
      <c r="EF58" s="491"/>
      <c r="EG58" s="492"/>
      <c r="EH58" s="497" t="s">
        <v>436</v>
      </c>
      <c r="EI58" s="491"/>
      <c r="EJ58" s="492"/>
      <c r="EK58" s="497" t="s">
        <v>435</v>
      </c>
      <c r="EL58" s="491"/>
      <c r="EM58" s="492"/>
      <c r="EN58" s="497" t="s">
        <v>436</v>
      </c>
      <c r="EO58" s="491"/>
      <c r="EP58" s="492"/>
      <c r="EQ58" s="491"/>
      <c r="ER58" s="491"/>
      <c r="ES58" s="491"/>
      <c r="ET58" s="492"/>
      <c r="EU58" s="279"/>
      <c r="EV58" s="503"/>
    </row>
    <row r="59" spans="1:152" x14ac:dyDescent="0.25">
      <c r="A59" s="138"/>
      <c r="B59" s="138"/>
      <c r="C59" s="138"/>
      <c r="G59" s="184" t="s">
        <v>300</v>
      </c>
      <c r="H59" s="184" t="s">
        <v>301</v>
      </c>
      <c r="L59" s="450" t="s">
        <v>17</v>
      </c>
      <c r="M59" s="451"/>
      <c r="N59" s="452"/>
      <c r="O59" s="14" t="s">
        <v>100</v>
      </c>
      <c r="P59" s="97" t="s">
        <v>100</v>
      </c>
      <c r="Q59" s="97" t="s">
        <v>305</v>
      </c>
      <c r="R59" s="97" t="s">
        <v>305</v>
      </c>
      <c r="S59" s="14" t="s">
        <v>305</v>
      </c>
      <c r="T59" s="427"/>
      <c r="U59" s="427"/>
      <c r="V59" s="427"/>
      <c r="W59" s="427"/>
      <c r="Z59" s="450" t="s">
        <v>17</v>
      </c>
      <c r="AA59" s="451"/>
      <c r="AB59" s="451"/>
      <c r="AC59" s="14" t="s">
        <v>100</v>
      </c>
      <c r="AD59" s="97" t="s">
        <v>100</v>
      </c>
      <c r="AE59" s="97" t="s">
        <v>305</v>
      </c>
      <c r="AF59" s="97" t="s">
        <v>305</v>
      </c>
      <c r="AG59" s="97" t="s">
        <v>100</v>
      </c>
      <c r="AH59" s="97" t="s">
        <v>100</v>
      </c>
      <c r="AI59" s="427"/>
      <c r="AJ59" s="14" t="s">
        <v>100</v>
      </c>
      <c r="AK59" s="14" t="s">
        <v>100</v>
      </c>
      <c r="AL59" s="14" t="s">
        <v>100</v>
      </c>
      <c r="AM59" s="98" t="s">
        <v>315</v>
      </c>
      <c r="AN59" s="427"/>
      <c r="AO59" s="427"/>
      <c r="AP59" s="427"/>
      <c r="AQ59" s="97" t="s">
        <v>310</v>
      </c>
      <c r="AR59" s="14" t="s">
        <v>434</v>
      </c>
      <c r="AS59" s="427"/>
      <c r="AT59" s="485"/>
      <c r="AU59" s="486"/>
      <c r="AV59" s="487"/>
      <c r="AW59" s="14" t="s">
        <v>434</v>
      </c>
      <c r="AX59" s="98" t="s">
        <v>313</v>
      </c>
      <c r="AY59" s="14" t="s">
        <v>100</v>
      </c>
      <c r="AZ59" s="98" t="s">
        <v>431</v>
      </c>
      <c r="BA59" s="14" t="s">
        <v>434</v>
      </c>
      <c r="BB59" s="427"/>
      <c r="BC59" s="485"/>
      <c r="BD59" s="486"/>
      <c r="BE59" s="487"/>
      <c r="BF59" s="14" t="s">
        <v>434</v>
      </c>
      <c r="BG59" s="98" t="s">
        <v>314</v>
      </c>
      <c r="BH59" s="14" t="s">
        <v>100</v>
      </c>
      <c r="BI59" s="98" t="s">
        <v>432</v>
      </c>
      <c r="BK59" s="450" t="s">
        <v>17</v>
      </c>
      <c r="BL59" s="451"/>
      <c r="BM59" s="451"/>
      <c r="BN59" s="14" t="s">
        <v>100</v>
      </c>
      <c r="BO59" s="97" t="s">
        <v>100</v>
      </c>
      <c r="BP59" s="97" t="s">
        <v>305</v>
      </c>
      <c r="BQ59" s="97" t="s">
        <v>305</v>
      </c>
      <c r="BR59" s="97" t="s">
        <v>100</v>
      </c>
      <c r="BS59" s="97" t="s">
        <v>100</v>
      </c>
      <c r="BT59" s="427"/>
      <c r="BU59" s="14" t="s">
        <v>100</v>
      </c>
      <c r="BV59" s="14" t="s">
        <v>100</v>
      </c>
      <c r="BW59" s="14" t="s">
        <v>100</v>
      </c>
      <c r="BX59" s="98" t="s">
        <v>315</v>
      </c>
      <c r="BY59" s="427"/>
      <c r="BZ59" s="427"/>
      <c r="CA59" s="427"/>
      <c r="CB59" s="97" t="s">
        <v>310</v>
      </c>
      <c r="CC59" s="14" t="s">
        <v>434</v>
      </c>
      <c r="CD59" s="427"/>
      <c r="CE59" s="485"/>
      <c r="CF59" s="486"/>
      <c r="CG59" s="487"/>
      <c r="CH59" s="14" t="s">
        <v>434</v>
      </c>
      <c r="CI59" s="98" t="s">
        <v>313</v>
      </c>
      <c r="CJ59" s="14" t="s">
        <v>100</v>
      </c>
      <c r="CK59" s="98" t="s">
        <v>431</v>
      </c>
      <c r="CL59" s="14" t="s">
        <v>434</v>
      </c>
      <c r="CM59" s="427"/>
      <c r="CN59" s="485"/>
      <c r="CO59" s="486"/>
      <c r="CP59" s="487"/>
      <c r="CQ59" s="14" t="s">
        <v>434</v>
      </c>
      <c r="CR59" s="98" t="s">
        <v>314</v>
      </c>
      <c r="CS59" s="14" t="s">
        <v>100</v>
      </c>
      <c r="CT59" s="98" t="s">
        <v>432</v>
      </c>
      <c r="CV59" s="477" t="s">
        <v>100</v>
      </c>
      <c r="CW59" s="451"/>
      <c r="CX59" s="451"/>
      <c r="CY59" s="14" t="s">
        <v>100</v>
      </c>
      <c r="CZ59" s="97" t="s">
        <v>100</v>
      </c>
      <c r="DA59" s="97" t="s">
        <v>305</v>
      </c>
      <c r="DB59" s="427"/>
      <c r="DC59" s="97" t="s">
        <v>316</v>
      </c>
      <c r="DD59" s="14" t="s">
        <v>317</v>
      </c>
      <c r="DE59" s="14" t="s">
        <v>317</v>
      </c>
      <c r="DF59" s="98"/>
      <c r="DG59" s="14" t="s">
        <v>317</v>
      </c>
      <c r="DH59" s="14" t="s">
        <v>317</v>
      </c>
      <c r="DI59" s="427"/>
      <c r="DJ59" s="14" t="s">
        <v>100</v>
      </c>
      <c r="DK59" s="14" t="s">
        <v>434</v>
      </c>
      <c r="DL59" s="14" t="s">
        <v>100</v>
      </c>
      <c r="DM59" s="98" t="s">
        <v>133</v>
      </c>
      <c r="DN59" s="14" t="s">
        <v>100</v>
      </c>
      <c r="DO59" s="14" t="s">
        <v>100</v>
      </c>
      <c r="DP59" s="14" t="s">
        <v>100</v>
      </c>
      <c r="DQ59" s="485"/>
      <c r="DR59" s="486"/>
      <c r="DS59" s="486"/>
      <c r="DT59" s="487"/>
      <c r="DW59" s="450" t="s">
        <v>17</v>
      </c>
      <c r="DX59" s="451"/>
      <c r="DY59" s="452"/>
      <c r="DZ59" s="14" t="s">
        <v>100</v>
      </c>
      <c r="EA59" s="97" t="s">
        <v>100</v>
      </c>
      <c r="EB59" s="14" t="s">
        <v>100</v>
      </c>
      <c r="EC59" s="14" t="s">
        <v>100</v>
      </c>
      <c r="ED59" s="14" t="s">
        <v>100</v>
      </c>
      <c r="EE59" s="485"/>
      <c r="EF59" s="486"/>
      <c r="EG59" s="487"/>
      <c r="EH59" s="485"/>
      <c r="EI59" s="486"/>
      <c r="EJ59" s="487"/>
      <c r="EK59" s="485"/>
      <c r="EL59" s="486"/>
      <c r="EM59" s="487"/>
      <c r="EN59" s="485"/>
      <c r="EO59" s="486"/>
      <c r="EP59" s="487"/>
      <c r="EQ59" s="486"/>
      <c r="ER59" s="486"/>
      <c r="ES59" s="486"/>
      <c r="ET59" s="487"/>
      <c r="EU59" s="278"/>
      <c r="EV59" s="503"/>
    </row>
    <row r="60" spans="1:152" x14ac:dyDescent="0.25">
      <c r="A60" s="138" t="s">
        <v>273</v>
      </c>
      <c r="B60" s="138"/>
      <c r="C60" s="138"/>
      <c r="G60" s="2" t="s">
        <v>91</v>
      </c>
      <c r="H60" s="2" t="s">
        <v>449</v>
      </c>
      <c r="L60" s="453">
        <v>2</v>
      </c>
      <c r="M60" s="80" t="s">
        <v>214</v>
      </c>
      <c r="N60" s="99"/>
      <c r="O60" s="129"/>
      <c r="P60" s="122"/>
      <c r="Q60" s="109"/>
      <c r="R60" s="122"/>
      <c r="S60" s="109"/>
      <c r="T60" s="122"/>
      <c r="U60" s="109"/>
      <c r="V60" s="122"/>
      <c r="W60" s="122"/>
      <c r="Z60" s="453">
        <v>2</v>
      </c>
      <c r="AA60" s="80" t="s">
        <v>214</v>
      </c>
      <c r="AB60" s="99"/>
      <c r="AC60" s="100"/>
      <c r="AD60" s="101"/>
      <c r="AE60" s="102"/>
      <c r="AF60" s="101"/>
      <c r="AG60" s="102"/>
      <c r="AH60" s="101"/>
      <c r="AI60" s="102"/>
      <c r="AJ60" s="101"/>
      <c r="AK60" s="102"/>
      <c r="AL60" s="101"/>
      <c r="AM60" s="103"/>
      <c r="AN60" s="101"/>
      <c r="AO60" s="102"/>
      <c r="AP60" s="101"/>
      <c r="AQ60" s="102"/>
      <c r="AR60" s="101"/>
      <c r="AS60" s="102"/>
      <c r="AT60" s="100"/>
      <c r="AU60" s="21"/>
      <c r="AV60" s="130"/>
      <c r="AW60" s="102"/>
      <c r="AX60" s="104"/>
      <c r="AY60" s="102"/>
      <c r="AZ60" s="104"/>
      <c r="BA60" s="102"/>
      <c r="BB60" s="101"/>
      <c r="BC60" s="102"/>
      <c r="BD60" s="102"/>
      <c r="BE60" s="102"/>
      <c r="BF60" s="101"/>
      <c r="BG60" s="103"/>
      <c r="BH60" s="101"/>
      <c r="BI60" s="105"/>
      <c r="BK60" s="453">
        <v>2</v>
      </c>
      <c r="BL60" s="80" t="s">
        <v>214</v>
      </c>
      <c r="BM60" s="99"/>
      <c r="BN60" s="122"/>
      <c r="BO60" s="109"/>
      <c r="BP60" s="122"/>
      <c r="BQ60" s="109"/>
      <c r="BR60" s="122"/>
      <c r="BS60" s="109"/>
      <c r="BT60" s="122"/>
      <c r="BU60" s="109"/>
      <c r="BV60" s="122"/>
      <c r="BW60" s="109"/>
      <c r="BX60" s="123"/>
      <c r="BY60" s="109"/>
      <c r="BZ60" s="122"/>
      <c r="CA60" s="109"/>
      <c r="CB60" s="122"/>
      <c r="CC60" s="109"/>
      <c r="CD60" s="122"/>
      <c r="CE60" s="147"/>
      <c r="CF60" s="109"/>
      <c r="CG60" s="109"/>
      <c r="CH60" s="122"/>
      <c r="CI60" s="124"/>
      <c r="CJ60" s="122"/>
      <c r="CK60" s="124"/>
      <c r="CL60" s="122"/>
      <c r="CM60" s="109"/>
      <c r="CN60" s="170"/>
      <c r="CO60" s="109"/>
      <c r="CP60" s="167"/>
      <c r="CQ60" s="109"/>
      <c r="CR60" s="123"/>
      <c r="CS60" s="109"/>
      <c r="CT60" s="123"/>
      <c r="CV60" s="453">
        <v>2</v>
      </c>
      <c r="CW60" s="80" t="s">
        <v>214</v>
      </c>
      <c r="CX60" s="99"/>
      <c r="CY60" s="20"/>
      <c r="CZ60" s="21"/>
      <c r="DA60" s="20"/>
      <c r="DB60" s="21"/>
      <c r="DC60" s="20"/>
      <c r="DD60" s="21"/>
      <c r="DE60" s="20"/>
      <c r="DF60" s="22"/>
      <c r="DG60" s="20"/>
      <c r="DH60" s="21"/>
      <c r="DI60" s="20"/>
      <c r="DJ60" s="21"/>
      <c r="DK60" s="20"/>
      <c r="DL60" s="21"/>
      <c r="DM60" s="18"/>
      <c r="DN60" s="21"/>
      <c r="DO60" s="20"/>
      <c r="DP60" s="21"/>
      <c r="DQ60" s="100"/>
      <c r="DR60" s="141"/>
      <c r="DS60" s="102"/>
      <c r="DT60" s="133"/>
      <c r="DW60" s="453">
        <v>2</v>
      </c>
      <c r="DX60" s="80" t="s">
        <v>214</v>
      </c>
      <c r="DY60" s="99"/>
      <c r="DZ60" s="129"/>
      <c r="EA60" s="122"/>
      <c r="EB60" s="109"/>
      <c r="EC60" s="122"/>
      <c r="ED60" s="122"/>
      <c r="EE60" s="147"/>
      <c r="EF60" s="21"/>
      <c r="EG60" s="152"/>
      <c r="EH60" s="102"/>
      <c r="EI60" s="102"/>
      <c r="EJ60" s="130"/>
      <c r="EK60" s="147"/>
      <c r="EL60" s="21"/>
      <c r="EM60" s="152"/>
      <c r="EN60" s="102"/>
      <c r="EO60" s="102"/>
      <c r="EP60" s="102"/>
      <c r="EQ60" s="100"/>
      <c r="ER60" s="141"/>
      <c r="ES60" s="102"/>
      <c r="ET60" s="133"/>
      <c r="EU60" s="133"/>
      <c r="EV60" s="499" t="s">
        <v>363</v>
      </c>
    </row>
    <row r="61" spans="1:152" x14ac:dyDescent="0.25">
      <c r="A61" s="138" t="s">
        <v>274</v>
      </c>
      <c r="B61" s="138"/>
      <c r="C61" s="138"/>
      <c r="G61" s="2" t="s">
        <v>92</v>
      </c>
      <c r="H61" s="2" t="s">
        <v>281</v>
      </c>
      <c r="L61" s="455"/>
      <c r="M61" s="44" t="s">
        <v>194</v>
      </c>
      <c r="N61" s="106">
        <v>3</v>
      </c>
      <c r="O61" s="25">
        <f>'QE &amp; MOMEN'!S50*1000</f>
        <v>250</v>
      </c>
      <c r="P61" s="26">
        <f>'QE &amp; MOMEN'!V50*1000</f>
        <v>150</v>
      </c>
      <c r="Q61" s="27">
        <f>'QE &amp; MOMEN'!AA50</f>
        <v>4.3672500000000003</v>
      </c>
      <c r="R61" s="24">
        <f>'QE &amp; MOMEN'!AA50</f>
        <v>4.3672500000000003</v>
      </c>
      <c r="S61" s="27">
        <f>'QE &amp; MOMEN'!AB50</f>
        <v>8.7345000000000006</v>
      </c>
      <c r="T61" s="26">
        <f>$H$4</f>
        <v>0.85</v>
      </c>
      <c r="U61" s="27">
        <f>T61*0.85*$H$7/$H$8*600/(600+$H$8)</f>
        <v>2.7093749999999993E-2</v>
      </c>
      <c r="V61" s="24">
        <f>0.75*U61*$H$8*(1-(0.5*0.75*U61*$H$8/(0.85*$H$7)))</f>
        <v>6.5736210937499981</v>
      </c>
      <c r="W61" s="43">
        <f>$H$27</f>
        <v>0.8</v>
      </c>
      <c r="Z61" s="455"/>
      <c r="AA61" s="44" t="s">
        <v>194</v>
      </c>
      <c r="AB61" s="106">
        <v>3</v>
      </c>
      <c r="AC61" s="30">
        <f>O61</f>
        <v>250</v>
      </c>
      <c r="AD61" s="31">
        <f>P61</f>
        <v>150</v>
      </c>
      <c r="AE61" s="32">
        <f>Q61</f>
        <v>4.3672500000000003</v>
      </c>
      <c r="AF61" s="33">
        <f>AE61/W61</f>
        <v>5.4590624999999999</v>
      </c>
      <c r="AG61" s="34">
        <v>50</v>
      </c>
      <c r="AH61" s="31">
        <f>AC61-AG61</f>
        <v>200</v>
      </c>
      <c r="AI61" s="35">
        <f>AF61*10^6/(AD61*AH61^2)</f>
        <v>0.90984374999999995</v>
      </c>
      <c r="AJ61" s="31">
        <f>$H$13</f>
        <v>13</v>
      </c>
      <c r="AK61" s="34">
        <f>$H$14</f>
        <v>8</v>
      </c>
      <c r="AL61" s="31">
        <f>$H$15</f>
        <v>25</v>
      </c>
      <c r="AM61" s="36" t="str">
        <f>IF(AI61&lt;=V61,"OK","NG")</f>
        <v>OK</v>
      </c>
      <c r="AN61" s="37">
        <f>0.85*($H$7/$H$8)*(1-(SQRT(1-2*AI61/(0.85*$H$7))))</f>
        <v>2.3255080841722412E-3</v>
      </c>
      <c r="AO61" s="38">
        <f>1.4/$H$8</f>
        <v>3.4999999999999996E-3</v>
      </c>
      <c r="AP61" s="37">
        <f>0.5*U61</f>
        <v>1.3546874999999996E-2</v>
      </c>
      <c r="AQ61" s="38">
        <f>MAX(AN61:AO61)</f>
        <v>3.4999999999999996E-3</v>
      </c>
      <c r="AR61" s="33">
        <f>AQ61*AD61*AH61</f>
        <v>104.99999999999999</v>
      </c>
      <c r="AS61" s="35">
        <f>AR61/((22/7)/4*AJ61^2)</f>
        <v>0.79074771382463682</v>
      </c>
      <c r="AT61" s="148">
        <f>ROUNDUP(AS61,0)</f>
        <v>1</v>
      </c>
      <c r="AU61" s="49">
        <f>MAX(AT61,AV61)</f>
        <v>2</v>
      </c>
      <c r="AV61" s="153">
        <v>2</v>
      </c>
      <c r="AW61" s="35">
        <f>AU61*(22/7)/4*AJ61^2</f>
        <v>265.57142857142856</v>
      </c>
      <c r="AX61" s="40" t="str">
        <f>IF(AR61&lt;=AW61,"OK","NG")</f>
        <v>OK</v>
      </c>
      <c r="AY61" s="34">
        <f>(AD61-(2*AL61+2*AK61+AU61*AJ61))/(AU61-1)</f>
        <v>58</v>
      </c>
      <c r="AZ61" s="40" t="str">
        <f>IF(AY61&gt;= 25,"OK","NG")</f>
        <v>OK</v>
      </c>
      <c r="BA61" s="34">
        <f>AR61/2</f>
        <v>52.499999999999993</v>
      </c>
      <c r="BB61" s="33">
        <f>BA61/((22/7)/4*AJ61^2)</f>
        <v>0.39537385691231841</v>
      </c>
      <c r="BC61" s="160">
        <f>ROUNDUP(BB61,0)</f>
        <v>1</v>
      </c>
      <c r="BD61" s="49">
        <f>MAX(BC61,BE61)</f>
        <v>2</v>
      </c>
      <c r="BE61" s="153">
        <v>2</v>
      </c>
      <c r="BF61" s="33">
        <f>BD61*(22/7)/4*AJ61^2</f>
        <v>265.57142857142856</v>
      </c>
      <c r="BG61" s="36" t="str">
        <f>IF(BA61&lt;=BF61,"OK","NG")</f>
        <v>OK</v>
      </c>
      <c r="BH61" s="31">
        <f>(AD61-(2*AL61+2*AK61+BD61*AJ61))/(BD61-1)</f>
        <v>58</v>
      </c>
      <c r="BI61" s="41" t="str">
        <f>IF(BH61&gt;= 25,"OK","NG")</f>
        <v>OK</v>
      </c>
      <c r="BK61" s="455"/>
      <c r="BL61" s="44" t="s">
        <v>194</v>
      </c>
      <c r="BM61" s="106">
        <v>3</v>
      </c>
      <c r="BN61" s="26">
        <f>O61</f>
        <v>250</v>
      </c>
      <c r="BO61" s="42">
        <f>P61</f>
        <v>150</v>
      </c>
      <c r="BP61" s="24">
        <f>R61</f>
        <v>4.3672500000000003</v>
      </c>
      <c r="BQ61" s="28">
        <f>BP61/W61</f>
        <v>5.4590624999999999</v>
      </c>
      <c r="BR61" s="26">
        <v>50</v>
      </c>
      <c r="BS61" s="42">
        <f>BN61-BR61</f>
        <v>200</v>
      </c>
      <c r="BT61" s="43">
        <f>BQ61*10^6/(BO61*BS61^2)</f>
        <v>0.90984374999999995</v>
      </c>
      <c r="BU61" s="42">
        <f>$H$13</f>
        <v>13</v>
      </c>
      <c r="BV61" s="26">
        <f>$H$14</f>
        <v>8</v>
      </c>
      <c r="BW61" s="42">
        <f>$H$15</f>
        <v>25</v>
      </c>
      <c r="BX61" s="44" t="str">
        <f>IF(BT61&lt;=V61,"OK","NG")</f>
        <v>OK</v>
      </c>
      <c r="BY61" s="45">
        <f>0.85*($H$7/$H$8)*(1-(SQRT(1-2*BT61/(0.85*$H$7))))</f>
        <v>2.3255080841722412E-3</v>
      </c>
      <c r="BZ61" s="46">
        <f>1.4/$H$8</f>
        <v>3.4999999999999996E-3</v>
      </c>
      <c r="CA61" s="45">
        <f>0.5*U61</f>
        <v>1.3546874999999996E-2</v>
      </c>
      <c r="CB61" s="46">
        <f>MAX(BY61:BZ61)</f>
        <v>3.4999999999999996E-3</v>
      </c>
      <c r="CC61" s="28">
        <f>CB61*BO61*BS61</f>
        <v>104.99999999999999</v>
      </c>
      <c r="CD61" s="43">
        <f>CC61/((22/7)/4*BU61^2)</f>
        <v>0.79074771382463682</v>
      </c>
      <c r="CE61" s="163">
        <f>ROUNDUP(CD61,0)</f>
        <v>1</v>
      </c>
      <c r="CF61" s="49">
        <f>MAX(CE61,CG61)</f>
        <v>2</v>
      </c>
      <c r="CG61" s="153">
        <v>2</v>
      </c>
      <c r="CH61" s="43">
        <f>CF61*(22/7)/4*BU61^2</f>
        <v>265.57142857142856</v>
      </c>
      <c r="CI61" s="47" t="str">
        <f>IF(CC61&lt;=CH61,"OK","NG")</f>
        <v>OK</v>
      </c>
      <c r="CJ61" s="26">
        <f>(BO61-(2*BW61+2*BV61+CF61*BU61))/(CF61-1)</f>
        <v>58</v>
      </c>
      <c r="CK61" s="47" t="str">
        <f>IF(CJ61&gt;= 25,"OK","NG")</f>
        <v>OK</v>
      </c>
      <c r="CL61" s="26">
        <f>CC61/2</f>
        <v>52.499999999999993</v>
      </c>
      <c r="CM61" s="28">
        <f>CL61/((22/7)/4*BU61^2)</f>
        <v>0.39537385691231841</v>
      </c>
      <c r="CN61" s="150">
        <f>ROUNDUP(CM61,0)</f>
        <v>1</v>
      </c>
      <c r="CO61" s="49">
        <f>MAX(CN61,CP61)</f>
        <v>2</v>
      </c>
      <c r="CP61" s="153">
        <v>2</v>
      </c>
      <c r="CQ61" s="28">
        <f>CO61*(22/7)/4*BU61^2</f>
        <v>265.57142857142856</v>
      </c>
      <c r="CR61" s="44" t="str">
        <f>IF(CL61&lt;=CQ61,"OK","NG")</f>
        <v>OK</v>
      </c>
      <c r="CS61" s="42">
        <f>(BO61-(2*BW61+2*BV61+CO61*BU61))/(CO61-1)</f>
        <v>58</v>
      </c>
      <c r="CT61" s="44" t="str">
        <f>IF(CS61&gt;= 25,"OK","NG")</f>
        <v>OK</v>
      </c>
      <c r="CV61" s="455"/>
      <c r="CW61" s="44" t="s">
        <v>194</v>
      </c>
      <c r="CX61" s="106">
        <v>3</v>
      </c>
      <c r="CY61" s="48">
        <f>O61</f>
        <v>250</v>
      </c>
      <c r="CZ61" s="49">
        <f>P61</f>
        <v>150</v>
      </c>
      <c r="DA61" s="50">
        <f>S61</f>
        <v>8.7345000000000006</v>
      </c>
      <c r="DB61" s="49">
        <v>0.6</v>
      </c>
      <c r="DC61" s="48">
        <f>$H$9</f>
        <v>240</v>
      </c>
      <c r="DD61" s="49">
        <f>1/6*SQRT($H$7)*CZ61*BS61*0.001</f>
        <v>24.999999999999996</v>
      </c>
      <c r="DE61" s="48">
        <f>DB61*DD61</f>
        <v>14.999999999999996</v>
      </c>
      <c r="DF61" s="51" t="str">
        <f>IF(DA61&lt;=DE61,"Tul. Gerser Praktis","Perlu Tul Geser")</f>
        <v>Tul. Gerser Praktis</v>
      </c>
      <c r="DG61" s="48"/>
      <c r="DH61" s="49"/>
      <c r="DI61" s="48"/>
      <c r="DJ61" s="49"/>
      <c r="DK61" s="48"/>
      <c r="DL61" s="49"/>
      <c r="DM61" s="52"/>
      <c r="DN61" s="49"/>
      <c r="DO61" s="48"/>
      <c r="DP61" s="49">
        <v>200</v>
      </c>
      <c r="DQ61" s="53" t="s">
        <v>323</v>
      </c>
      <c r="DR61" s="143">
        <f>$H$14</f>
        <v>8</v>
      </c>
      <c r="DS61" s="54" t="s">
        <v>41</v>
      </c>
      <c r="DT61" s="55">
        <f>DP61</f>
        <v>200</v>
      </c>
      <c r="DW61" s="455"/>
      <c r="DX61" s="44" t="s">
        <v>194</v>
      </c>
      <c r="DY61" s="106">
        <v>3</v>
      </c>
      <c r="DZ61" s="25">
        <f>O61</f>
        <v>250</v>
      </c>
      <c r="EA61" s="26">
        <f>P61</f>
        <v>150</v>
      </c>
      <c r="EB61" s="42">
        <f>$H$13</f>
        <v>13</v>
      </c>
      <c r="EC61" s="26">
        <f>$H$14</f>
        <v>8</v>
      </c>
      <c r="ED61" s="42">
        <f>$H$15</f>
        <v>25</v>
      </c>
      <c r="EE61" s="148">
        <f t="shared" ref="EE61:EE77" si="4">AT61</f>
        <v>1</v>
      </c>
      <c r="EF61" s="34">
        <f>MAX(EE61,EG61)</f>
        <v>2</v>
      </c>
      <c r="EG61" s="153">
        <v>2</v>
      </c>
      <c r="EH61" s="160">
        <f t="shared" ref="EH61:EH77" si="5">BC61</f>
        <v>1</v>
      </c>
      <c r="EI61" s="34">
        <f>MAX(EH61,EJ61)</f>
        <v>2</v>
      </c>
      <c r="EJ61" s="160">
        <v>2</v>
      </c>
      <c r="EK61" s="148">
        <f t="shared" ref="EK61:EK77" si="6">CE61</f>
        <v>1</v>
      </c>
      <c r="EL61" s="34">
        <f>MAX(EK61,EM61)</f>
        <v>2</v>
      </c>
      <c r="EM61" s="153">
        <v>2</v>
      </c>
      <c r="EN61" s="160">
        <f t="shared" ref="EN61:EN77" si="7">CN61</f>
        <v>1</v>
      </c>
      <c r="EO61" s="34">
        <f>MAX(EN61,EP61)</f>
        <v>2</v>
      </c>
      <c r="EP61" s="160">
        <v>2</v>
      </c>
      <c r="EQ61" s="53" t="s">
        <v>323</v>
      </c>
      <c r="ER61" s="143">
        <f>$H$14</f>
        <v>8</v>
      </c>
      <c r="ES61" s="54" t="s">
        <v>41</v>
      </c>
      <c r="ET61" s="55">
        <f>DT61</f>
        <v>200</v>
      </c>
      <c r="EU61" s="55"/>
      <c r="EV61" s="499"/>
    </row>
    <row r="62" spans="1:152" x14ac:dyDescent="0.25">
      <c r="A62" s="138" t="s">
        <v>274</v>
      </c>
      <c r="B62" s="138"/>
      <c r="C62" s="138"/>
      <c r="G62" s="2" t="s">
        <v>92</v>
      </c>
      <c r="H62" s="2" t="s">
        <v>275</v>
      </c>
      <c r="L62" s="453">
        <v>3</v>
      </c>
      <c r="M62" s="80" t="s">
        <v>214</v>
      </c>
      <c r="N62" s="99"/>
      <c r="O62" s="56"/>
      <c r="P62" s="57"/>
      <c r="Q62" s="58"/>
      <c r="R62" s="59"/>
      <c r="S62" s="58"/>
      <c r="T62" s="57"/>
      <c r="U62" s="58"/>
      <c r="V62" s="59"/>
      <c r="W62" s="71"/>
      <c r="Z62" s="453">
        <v>3</v>
      </c>
      <c r="AA62" s="80" t="s">
        <v>214</v>
      </c>
      <c r="AB62" s="99"/>
      <c r="AC62" s="61"/>
      <c r="AD62" s="20"/>
      <c r="AE62" s="21"/>
      <c r="AF62" s="20"/>
      <c r="AG62" s="21"/>
      <c r="AH62" s="20"/>
      <c r="AI62" s="21"/>
      <c r="AJ62" s="20"/>
      <c r="AK62" s="21"/>
      <c r="AL62" s="20"/>
      <c r="AM62" s="22"/>
      <c r="AN62" s="20"/>
      <c r="AO62" s="21"/>
      <c r="AP62" s="20"/>
      <c r="AQ62" s="21"/>
      <c r="AR62" s="20"/>
      <c r="AS62" s="21"/>
      <c r="AT62" s="149"/>
      <c r="AU62" s="34"/>
      <c r="AV62" s="154"/>
      <c r="AW62" s="21"/>
      <c r="AX62" s="18"/>
      <c r="AY62" s="21"/>
      <c r="AZ62" s="18"/>
      <c r="BA62" s="21"/>
      <c r="BB62" s="20"/>
      <c r="BC62" s="162"/>
      <c r="BD62" s="34"/>
      <c r="BE62" s="154"/>
      <c r="BF62" s="20"/>
      <c r="BG62" s="22"/>
      <c r="BH62" s="20"/>
      <c r="BI62" s="62"/>
      <c r="BK62" s="453">
        <v>3</v>
      </c>
      <c r="BL62" s="80" t="s">
        <v>214</v>
      </c>
      <c r="BM62" s="99"/>
      <c r="BN62" s="57"/>
      <c r="BO62" s="3"/>
      <c r="BP62" s="57"/>
      <c r="BQ62" s="3"/>
      <c r="BR62" s="57"/>
      <c r="BS62" s="3"/>
      <c r="BT62" s="57"/>
      <c r="BU62" s="3"/>
      <c r="BV62" s="57"/>
      <c r="BW62" s="3"/>
      <c r="BX62" s="63"/>
      <c r="BY62" s="3"/>
      <c r="BZ62" s="57"/>
      <c r="CA62" s="3"/>
      <c r="CB62" s="57"/>
      <c r="CC62" s="3"/>
      <c r="CD62" s="57"/>
      <c r="CE62" s="160"/>
      <c r="CF62" s="34"/>
      <c r="CG62" s="154"/>
      <c r="CH62" s="57"/>
      <c r="CI62" s="64"/>
      <c r="CJ62" s="57"/>
      <c r="CK62" s="64"/>
      <c r="CL62" s="57"/>
      <c r="CM62" s="3"/>
      <c r="CN62" s="148"/>
      <c r="CO62" s="34"/>
      <c r="CP62" s="154"/>
      <c r="CQ62" s="3"/>
      <c r="CR62" s="63"/>
      <c r="CS62" s="3"/>
      <c r="CT62" s="63"/>
      <c r="CV62" s="453">
        <v>3</v>
      </c>
      <c r="CW62" s="80" t="s">
        <v>214</v>
      </c>
      <c r="CX62" s="99"/>
      <c r="CY62" s="31"/>
      <c r="CZ62" s="34"/>
      <c r="DA62" s="31"/>
      <c r="DB62" s="34"/>
      <c r="DC62" s="31"/>
      <c r="DD62" s="34"/>
      <c r="DE62" s="31"/>
      <c r="DF62" s="36"/>
      <c r="DG62" s="31"/>
      <c r="DH62" s="34"/>
      <c r="DI62" s="31"/>
      <c r="DJ62" s="34"/>
      <c r="DK62" s="31"/>
      <c r="DL62" s="34"/>
      <c r="DM62" s="40"/>
      <c r="DN62" s="34"/>
      <c r="DO62" s="31"/>
      <c r="DP62" s="34"/>
      <c r="DQ62" s="75"/>
      <c r="DR62" s="115"/>
      <c r="DS62" s="131"/>
      <c r="DT62" s="77"/>
      <c r="DW62" s="453">
        <v>3</v>
      </c>
      <c r="DX62" s="80" t="s">
        <v>214</v>
      </c>
      <c r="DY62" s="99"/>
      <c r="DZ62" s="56"/>
      <c r="EA62" s="57"/>
      <c r="EB62" s="3"/>
      <c r="EC62" s="57"/>
      <c r="ED62" s="3"/>
      <c r="EE62" s="149">
        <f t="shared" si="4"/>
        <v>0</v>
      </c>
      <c r="EF62" s="21"/>
      <c r="EG62" s="154"/>
      <c r="EH62" s="162">
        <f t="shared" si="5"/>
        <v>0</v>
      </c>
      <c r="EI62" s="21"/>
      <c r="EJ62" s="162"/>
      <c r="EK62" s="149">
        <f t="shared" si="6"/>
        <v>0</v>
      </c>
      <c r="EL62" s="21"/>
      <c r="EM62" s="154"/>
      <c r="EN62" s="162">
        <f t="shared" si="7"/>
        <v>0</v>
      </c>
      <c r="EO62" s="21"/>
      <c r="EP62" s="154"/>
      <c r="EQ62" s="75"/>
      <c r="ER62" s="115"/>
      <c r="ES62" s="131"/>
      <c r="ET62" s="77"/>
      <c r="EU62" s="77"/>
      <c r="EV62" s="499" t="s">
        <v>505</v>
      </c>
    </row>
    <row r="63" spans="1:152" x14ac:dyDescent="0.25">
      <c r="A63" s="138" t="s">
        <v>124</v>
      </c>
      <c r="B63" s="138"/>
      <c r="C63" s="138"/>
      <c r="G63" s="2" t="s">
        <v>91</v>
      </c>
      <c r="H63" s="2" t="s">
        <v>123</v>
      </c>
      <c r="L63" s="454"/>
      <c r="M63" s="44" t="s">
        <v>194</v>
      </c>
      <c r="N63" s="106">
        <v>3</v>
      </c>
      <c r="O63" s="25">
        <f>'QE &amp; MOMEN'!S52*1000</f>
        <v>300</v>
      </c>
      <c r="P63" s="26">
        <f>'QE &amp; MOMEN'!V52*1000</f>
        <v>200</v>
      </c>
      <c r="Q63" s="27">
        <f>'QE &amp; MOMEN'!AA52</f>
        <v>17.628750000000004</v>
      </c>
      <c r="R63" s="24">
        <f>'QE &amp; MOMEN'!AA52</f>
        <v>17.628750000000004</v>
      </c>
      <c r="S63" s="27">
        <f>'QE &amp; MOMEN'!AB52</f>
        <v>35.257500000000007</v>
      </c>
      <c r="T63" s="26">
        <f>$H$4</f>
        <v>0.85</v>
      </c>
      <c r="U63" s="27">
        <f>T63*0.85*$H$7/$H$8*600/(600+$H$8)</f>
        <v>2.7093749999999993E-2</v>
      </c>
      <c r="V63" s="24">
        <f>0.75*U63*$H$8*(1-(0.5*0.75*U63*$H$8/(0.85*$H$7)))</f>
        <v>6.5736210937499981</v>
      </c>
      <c r="W63" s="43">
        <f>$H$27</f>
        <v>0.8</v>
      </c>
      <c r="Z63" s="454"/>
      <c r="AA63" s="44" t="s">
        <v>194</v>
      </c>
      <c r="AB63" s="106">
        <v>3</v>
      </c>
      <c r="AC63" s="65">
        <f>O63</f>
        <v>300</v>
      </c>
      <c r="AD63" s="48">
        <f>P63</f>
        <v>200</v>
      </c>
      <c r="AE63" s="66">
        <f>Q63</f>
        <v>17.628750000000004</v>
      </c>
      <c r="AF63" s="67">
        <f>AE63/W63</f>
        <v>22.035937500000003</v>
      </c>
      <c r="AG63" s="49">
        <v>50</v>
      </c>
      <c r="AH63" s="48">
        <f>AC63-AG63</f>
        <v>250</v>
      </c>
      <c r="AI63" s="39">
        <f>AF63*10^6/(AD63*AH63^2)</f>
        <v>1.7628750000000002</v>
      </c>
      <c r="AJ63" s="48">
        <f>$H$13</f>
        <v>13</v>
      </c>
      <c r="AK63" s="49">
        <f>$H$14</f>
        <v>8</v>
      </c>
      <c r="AL63" s="48">
        <f>$H$15</f>
        <v>25</v>
      </c>
      <c r="AM63" s="51" t="str">
        <f>IF(AI63&lt;=V63,"OK","NG")</f>
        <v>OK</v>
      </c>
      <c r="AN63" s="68">
        <f>0.85*($H$7/$H$8)*(1-(SQRT(1-2*AI63/(0.85*$H$7))))</f>
        <v>4.6069419893479228E-3</v>
      </c>
      <c r="AO63" s="69">
        <f>1.4/$H$8</f>
        <v>3.4999999999999996E-3</v>
      </c>
      <c r="AP63" s="68">
        <f>0.5*U63</f>
        <v>1.3546874999999996E-2</v>
      </c>
      <c r="AQ63" s="69">
        <f>MAX(AN63:AO63)</f>
        <v>4.6069419893479228E-3</v>
      </c>
      <c r="AR63" s="67">
        <f>AQ63*AD63*AH63</f>
        <v>230.34709946739616</v>
      </c>
      <c r="AS63" s="39">
        <f>AR63/((22/7)/4*AJ63^2)</f>
        <v>1.7347280218093311</v>
      </c>
      <c r="AT63" s="150">
        <f>ROUNDUP(AS63,0)</f>
        <v>2</v>
      </c>
      <c r="AU63" s="49">
        <f>MAX(AT63,AV63)</f>
        <v>2</v>
      </c>
      <c r="AV63" s="155">
        <v>2</v>
      </c>
      <c r="AW63" s="35">
        <f>AU63*(22/7)/4*AJ63^2</f>
        <v>265.57142857142856</v>
      </c>
      <c r="AX63" s="40" t="str">
        <f>IF(AR63&lt;=AW63,"OK","NG")</f>
        <v>OK</v>
      </c>
      <c r="AY63" s="34">
        <f>(AD63-(2*AL63+2*AK63+AU63*AJ63))/(AU63-1)</f>
        <v>108</v>
      </c>
      <c r="AZ63" s="52" t="str">
        <f>IF(AY63&gt;= 25,"OK","NG")</f>
        <v>OK</v>
      </c>
      <c r="BA63" s="49">
        <f>AR63/2</f>
        <v>115.17354973369808</v>
      </c>
      <c r="BB63" s="67">
        <f>BA63/((22/7)/4*AJ63^2)</f>
        <v>0.86736401090466553</v>
      </c>
      <c r="BC63" s="163">
        <f>ROUNDUP(BB63,0)</f>
        <v>1</v>
      </c>
      <c r="BD63" s="49">
        <f>MAX(BC63,BE63)</f>
        <v>2</v>
      </c>
      <c r="BE63" s="155">
        <v>2</v>
      </c>
      <c r="BF63" s="33">
        <f>BD63*(22/7)/4*AJ63^2</f>
        <v>265.57142857142856</v>
      </c>
      <c r="BG63" s="36" t="str">
        <f>IF(BA63&lt;=BF63,"OK","NG")</f>
        <v>OK</v>
      </c>
      <c r="BH63" s="31">
        <f>(AD63-(2*AL63+2*AK63+BD63*AJ63))/(BD63-1)</f>
        <v>108</v>
      </c>
      <c r="BI63" s="70" t="str">
        <f>IF(BH63&gt;= 25,"OK","NG")</f>
        <v>OK</v>
      </c>
      <c r="BK63" s="454"/>
      <c r="BL63" s="44" t="s">
        <v>194</v>
      </c>
      <c r="BM63" s="106">
        <v>3</v>
      </c>
      <c r="BN63" s="57">
        <f>O63</f>
        <v>300</v>
      </c>
      <c r="BO63" s="3">
        <f>P63</f>
        <v>200</v>
      </c>
      <c r="BP63" s="59">
        <f>R63</f>
        <v>17.628750000000004</v>
      </c>
      <c r="BQ63" s="60">
        <f>BP63/W63</f>
        <v>22.035937500000003</v>
      </c>
      <c r="BR63" s="57">
        <v>50</v>
      </c>
      <c r="BS63" s="3">
        <f>BN63-BR63</f>
        <v>250</v>
      </c>
      <c r="BT63" s="71">
        <f>BQ63*10^6/(BO63*BS63^2)</f>
        <v>1.7628750000000002</v>
      </c>
      <c r="BU63" s="3">
        <f>$H$13</f>
        <v>13</v>
      </c>
      <c r="BV63" s="57">
        <f>$H$14</f>
        <v>8</v>
      </c>
      <c r="BW63" s="3">
        <f>$H$15</f>
        <v>25</v>
      </c>
      <c r="BX63" s="63" t="str">
        <f>IF(BT63&lt;=V63,"OK","NG")</f>
        <v>OK</v>
      </c>
      <c r="BY63" s="72">
        <f>0.85*($H$7/$H$8)*(1-(SQRT(1-2*BT63/(0.85*$H$7))))</f>
        <v>4.6069419893479228E-3</v>
      </c>
      <c r="BZ63" s="73">
        <f>1.4/$H$8</f>
        <v>3.4999999999999996E-3</v>
      </c>
      <c r="CA63" s="72">
        <f>0.5*U63</f>
        <v>1.3546874999999996E-2</v>
      </c>
      <c r="CB63" s="73">
        <f>MAX(BY63:BZ63)</f>
        <v>4.6069419893479228E-3</v>
      </c>
      <c r="CC63" s="60">
        <f>CB63*BO63*BS63</f>
        <v>230.34709946739616</v>
      </c>
      <c r="CD63" s="71">
        <f>CC63/((22/7)/4*BU63^2)</f>
        <v>1.7347280218093311</v>
      </c>
      <c r="CE63" s="160">
        <f>ROUNDUP(CD63,0)</f>
        <v>2</v>
      </c>
      <c r="CF63" s="49">
        <f>MAX(CE63,CG63)</f>
        <v>2</v>
      </c>
      <c r="CG63" s="155">
        <v>2</v>
      </c>
      <c r="CH63" s="43">
        <f>CF63*(22/7)/4*BU63^2</f>
        <v>265.57142857142856</v>
      </c>
      <c r="CI63" s="47" t="str">
        <f>IF(CC63&lt;=CH63,"OK","NG")</f>
        <v>OK</v>
      </c>
      <c r="CJ63" s="26">
        <f>(BO63-(2*BW63+2*BV63+CF63*BU63))/(CF63-1)</f>
        <v>108</v>
      </c>
      <c r="CK63" s="47" t="str">
        <f>IF(CJ63&gt;= 25,"OK","NG")</f>
        <v>OK</v>
      </c>
      <c r="CL63" s="26">
        <f>CC63/2</f>
        <v>115.17354973369808</v>
      </c>
      <c r="CM63" s="28">
        <f>CL63/((22/7)/4*BU63^2)</f>
        <v>0.86736401090466553</v>
      </c>
      <c r="CN63" s="150">
        <f>ROUNDUP(CM63,0)</f>
        <v>1</v>
      </c>
      <c r="CO63" s="49">
        <f>MAX(CN63,CP63)</f>
        <v>2</v>
      </c>
      <c r="CP63" s="153">
        <v>2</v>
      </c>
      <c r="CQ63" s="28">
        <f>CO63*(22/7)/4*BU63^2</f>
        <v>265.57142857142856</v>
      </c>
      <c r="CR63" s="44" t="str">
        <f>IF(CL63&lt;=CQ63,"OK","NG")</f>
        <v>OK</v>
      </c>
      <c r="CS63" s="42">
        <f>(BO63-(2*BW63+2*BV63+CO63*BU63))/(CO63-1)</f>
        <v>108</v>
      </c>
      <c r="CT63" s="63" t="str">
        <f>IF(CS63&gt;= 25,"OK","NG")</f>
        <v>OK</v>
      </c>
      <c r="CV63" s="454"/>
      <c r="CW63" s="44" t="s">
        <v>194</v>
      </c>
      <c r="CX63" s="106">
        <v>3</v>
      </c>
      <c r="CY63" s="31">
        <f>O63</f>
        <v>300</v>
      </c>
      <c r="CZ63" s="34">
        <f>P63</f>
        <v>200</v>
      </c>
      <c r="DA63" s="74">
        <f>S63</f>
        <v>35.257500000000007</v>
      </c>
      <c r="DB63" s="34">
        <v>0.6</v>
      </c>
      <c r="DC63" s="31">
        <f>$H$9</f>
        <v>240</v>
      </c>
      <c r="DD63" s="34">
        <f>1/6*SQRT($H$7)*CZ63*BS63*0.001</f>
        <v>41.666666666666664</v>
      </c>
      <c r="DE63" s="31">
        <f>DB63*DD63</f>
        <v>24.999999999999996</v>
      </c>
      <c r="DF63" s="36" t="str">
        <f>IF(DA63&lt;=DE63,"Tul. Gerser Praktis","Perlu Tul Geser")</f>
        <v>Perlu Tul Geser</v>
      </c>
      <c r="DG63" s="74">
        <f>DA63-DE63</f>
        <v>10.257500000000011</v>
      </c>
      <c r="DH63" s="34">
        <f>DG63/DB63</f>
        <v>17.095833333333353</v>
      </c>
      <c r="DI63" s="31">
        <v>1</v>
      </c>
      <c r="DJ63" s="34">
        <f>$AK$11</f>
        <v>8</v>
      </c>
      <c r="DK63" s="31">
        <f>DI63*((22/7)/4)*DJ63^2</f>
        <v>50.285714285714285</v>
      </c>
      <c r="DL63" s="34">
        <f>DK63*DC61*BS63/(DH63*10^3)</f>
        <v>176.48410570662557</v>
      </c>
      <c r="DM63" s="40" t="str">
        <f>IF(DH63&lt;(1/3*SQRT($H$7)*CZ63*BS63),"1/2 D - 600","1/4D - 300")</f>
        <v>1/2 D - 600</v>
      </c>
      <c r="DN63" s="34">
        <f>1/2*AH63</f>
        <v>125</v>
      </c>
      <c r="DO63" s="31">
        <v>600</v>
      </c>
      <c r="DP63" s="34">
        <f>MIN(DL63,DN63,DO63)</f>
        <v>125</v>
      </c>
      <c r="DQ63" s="75" t="s">
        <v>323</v>
      </c>
      <c r="DR63" s="115">
        <f>$H$14</f>
        <v>8</v>
      </c>
      <c r="DS63" s="76" t="s">
        <v>41</v>
      </c>
      <c r="DT63" s="77">
        <f>DP63</f>
        <v>125</v>
      </c>
      <c r="DW63" s="454"/>
      <c r="DX63" s="44" t="s">
        <v>194</v>
      </c>
      <c r="DY63" s="106">
        <v>3</v>
      </c>
      <c r="DZ63" s="25">
        <f>O63</f>
        <v>300</v>
      </c>
      <c r="EA63" s="26">
        <f>P63</f>
        <v>200</v>
      </c>
      <c r="EB63" s="3">
        <f>$H$13</f>
        <v>13</v>
      </c>
      <c r="EC63" s="57">
        <f>$H$14</f>
        <v>8</v>
      </c>
      <c r="ED63" s="3">
        <f>$H$15</f>
        <v>25</v>
      </c>
      <c r="EE63" s="150">
        <f t="shared" si="4"/>
        <v>2</v>
      </c>
      <c r="EF63" s="49">
        <f>MAX(EE63,EG63)</f>
        <v>2</v>
      </c>
      <c r="EG63" s="155">
        <v>2</v>
      </c>
      <c r="EH63" s="163">
        <f t="shared" si="5"/>
        <v>1</v>
      </c>
      <c r="EI63" s="49">
        <f>MAX(EH63,EJ63)</f>
        <v>2</v>
      </c>
      <c r="EJ63" s="163">
        <v>2</v>
      </c>
      <c r="EK63" s="150">
        <f t="shared" si="6"/>
        <v>2</v>
      </c>
      <c r="EL63" s="49">
        <f>MAX(EK63,EM63)</f>
        <v>2</v>
      </c>
      <c r="EM63" s="155">
        <v>2</v>
      </c>
      <c r="EN63" s="163">
        <f t="shared" si="7"/>
        <v>1</v>
      </c>
      <c r="EO63" s="49">
        <f>MAX(EN63,EP63)</f>
        <v>2</v>
      </c>
      <c r="EP63" s="155">
        <v>2</v>
      </c>
      <c r="EQ63" s="75" t="s">
        <v>323</v>
      </c>
      <c r="ER63" s="115">
        <f>$H$14</f>
        <v>8</v>
      </c>
      <c r="ES63" s="76" t="s">
        <v>41</v>
      </c>
      <c r="ET63" s="55">
        <f>DT63</f>
        <v>125</v>
      </c>
      <c r="EU63" s="55"/>
      <c r="EV63" s="499"/>
    </row>
    <row r="64" spans="1:152" x14ac:dyDescent="0.25">
      <c r="A64" s="138" t="s">
        <v>420</v>
      </c>
      <c r="B64" s="138"/>
      <c r="C64" s="138"/>
      <c r="G64" s="2" t="s">
        <v>126</v>
      </c>
      <c r="H64" s="2" t="s">
        <v>276</v>
      </c>
      <c r="I64" s="270" t="s">
        <v>128</v>
      </c>
      <c r="L64" s="454"/>
      <c r="M64" s="80" t="s">
        <v>217</v>
      </c>
      <c r="N64" s="99"/>
      <c r="O64" s="78"/>
      <c r="P64" s="57"/>
      <c r="Q64" s="58"/>
      <c r="R64" s="59"/>
      <c r="S64" s="58"/>
      <c r="T64" s="57"/>
      <c r="U64" s="58"/>
      <c r="V64" s="59"/>
      <c r="W64" s="71"/>
      <c r="Z64" s="454"/>
      <c r="AA64" s="80" t="s">
        <v>217</v>
      </c>
      <c r="AB64" s="99"/>
      <c r="AC64" s="61"/>
      <c r="AD64" s="20"/>
      <c r="AE64" s="21"/>
      <c r="AF64" s="20"/>
      <c r="AG64" s="21"/>
      <c r="AH64" s="20"/>
      <c r="AI64" s="21"/>
      <c r="AJ64" s="20"/>
      <c r="AK64" s="21"/>
      <c r="AL64" s="20"/>
      <c r="AM64" s="22"/>
      <c r="AN64" s="20"/>
      <c r="AO64" s="21"/>
      <c r="AP64" s="20"/>
      <c r="AQ64" s="21"/>
      <c r="AR64" s="20"/>
      <c r="AS64" s="21"/>
      <c r="AT64" s="149"/>
      <c r="AU64" s="34"/>
      <c r="AV64" s="154"/>
      <c r="AW64" s="21"/>
      <c r="AX64" s="18"/>
      <c r="AY64" s="21"/>
      <c r="AZ64" s="18"/>
      <c r="BA64" s="21"/>
      <c r="BB64" s="20"/>
      <c r="BC64" s="162"/>
      <c r="BD64" s="34"/>
      <c r="BE64" s="154"/>
      <c r="BF64" s="20"/>
      <c r="BG64" s="22"/>
      <c r="BH64" s="20"/>
      <c r="BI64" s="62"/>
      <c r="BK64" s="454"/>
      <c r="BL64" s="80" t="s">
        <v>217</v>
      </c>
      <c r="BM64" s="99"/>
      <c r="BN64" s="15"/>
      <c r="BO64" s="79"/>
      <c r="BP64" s="15"/>
      <c r="BQ64" s="79"/>
      <c r="BR64" s="15"/>
      <c r="BS64" s="79"/>
      <c r="BT64" s="15"/>
      <c r="BU64" s="79"/>
      <c r="BV64" s="15"/>
      <c r="BW64" s="79"/>
      <c r="BX64" s="80"/>
      <c r="BY64" s="79"/>
      <c r="BZ64" s="15"/>
      <c r="CA64" s="79"/>
      <c r="CB64" s="15"/>
      <c r="CC64" s="79"/>
      <c r="CD64" s="15"/>
      <c r="CE64" s="162"/>
      <c r="CF64" s="34"/>
      <c r="CG64" s="154"/>
      <c r="CH64" s="15"/>
      <c r="CI64" s="81"/>
      <c r="CJ64" s="15"/>
      <c r="CK64" s="81"/>
      <c r="CL64" s="15"/>
      <c r="CM64" s="79"/>
      <c r="CN64" s="149"/>
      <c r="CO64" s="34"/>
      <c r="CP64" s="154"/>
      <c r="CQ64" s="79"/>
      <c r="CR64" s="80"/>
      <c r="CS64" s="79"/>
      <c r="CT64" s="80"/>
      <c r="CV64" s="454"/>
      <c r="CW64" s="80" t="s">
        <v>217</v>
      </c>
      <c r="CX64" s="99"/>
      <c r="CY64" s="20"/>
      <c r="CZ64" s="21"/>
      <c r="DA64" s="20"/>
      <c r="DB64" s="21"/>
      <c r="DC64" s="20"/>
      <c r="DD64" s="21"/>
      <c r="DE64" s="20"/>
      <c r="DF64" s="22"/>
      <c r="DG64" s="20"/>
      <c r="DH64" s="21"/>
      <c r="DI64" s="20"/>
      <c r="DJ64" s="21"/>
      <c r="DK64" s="20"/>
      <c r="DL64" s="21"/>
      <c r="DM64" s="18"/>
      <c r="DN64" s="21"/>
      <c r="DO64" s="20"/>
      <c r="DP64" s="21"/>
      <c r="DQ64" s="132"/>
      <c r="DR64" s="141"/>
      <c r="DS64" s="102"/>
      <c r="DT64" s="133"/>
      <c r="DW64" s="454"/>
      <c r="DX64" s="80" t="s">
        <v>217</v>
      </c>
      <c r="DY64" s="99"/>
      <c r="DZ64" s="78"/>
      <c r="EA64" s="57"/>
      <c r="EB64" s="79"/>
      <c r="EC64" s="15"/>
      <c r="ED64" s="79"/>
      <c r="EE64" s="148">
        <f t="shared" si="4"/>
        <v>0</v>
      </c>
      <c r="EF64" s="34"/>
      <c r="EG64" s="153"/>
      <c r="EH64" s="160">
        <f t="shared" si="5"/>
        <v>0</v>
      </c>
      <c r="EI64" s="34"/>
      <c r="EJ64" s="160"/>
      <c r="EK64" s="148">
        <f t="shared" si="6"/>
        <v>0</v>
      </c>
      <c r="EL64" s="34"/>
      <c r="EM64" s="153"/>
      <c r="EN64" s="160">
        <f t="shared" si="7"/>
        <v>0</v>
      </c>
      <c r="EO64" s="34"/>
      <c r="EP64" s="160"/>
      <c r="EQ64" s="132"/>
      <c r="ER64" s="141"/>
      <c r="ES64" s="102"/>
      <c r="ET64" s="133"/>
      <c r="EU64" s="133"/>
      <c r="EV64" s="499" t="s">
        <v>507</v>
      </c>
    </row>
    <row r="65" spans="1:152" x14ac:dyDescent="0.25">
      <c r="A65" s="138" t="s">
        <v>421</v>
      </c>
      <c r="B65" s="138"/>
      <c r="C65" s="138"/>
      <c r="G65" s="2" t="s">
        <v>277</v>
      </c>
      <c r="H65" s="2" t="s">
        <v>447</v>
      </c>
      <c r="I65" s="112" t="s">
        <v>491</v>
      </c>
      <c r="L65" s="455"/>
      <c r="M65" s="44" t="s">
        <v>194</v>
      </c>
      <c r="N65" s="106">
        <v>3.5</v>
      </c>
      <c r="O65" s="25">
        <f>'QE &amp; MOMEN'!S54*1000</f>
        <v>300</v>
      </c>
      <c r="P65" s="26">
        <f>'QE &amp; MOMEN'!V54*1000</f>
        <v>200</v>
      </c>
      <c r="Q65" s="27">
        <f>'QE &amp; MOMEN'!AA54</f>
        <v>20.228833333333334</v>
      </c>
      <c r="R65" s="24">
        <f>'QE &amp; MOMEN'!AA54</f>
        <v>20.228833333333334</v>
      </c>
      <c r="S65" s="27">
        <f>'QE &amp; MOMEN'!AB54</f>
        <v>34.678000000000004</v>
      </c>
      <c r="T65" s="26">
        <f>$H$4</f>
        <v>0.85</v>
      </c>
      <c r="U65" s="27">
        <f>T65*0.85*$H$7/$H$8*600/(600+$H$8)</f>
        <v>2.7093749999999993E-2</v>
      </c>
      <c r="V65" s="24">
        <f>0.75*U65*$H$8*(1-(0.5*0.75*U65*$H$8/(0.85*$H$7)))</f>
        <v>6.5736210937499981</v>
      </c>
      <c r="W65" s="43">
        <f>$H$27</f>
        <v>0.8</v>
      </c>
      <c r="Z65" s="455"/>
      <c r="AA65" s="44" t="s">
        <v>194</v>
      </c>
      <c r="AB65" s="106">
        <v>3.5</v>
      </c>
      <c r="AC65" s="65">
        <f>O65</f>
        <v>300</v>
      </c>
      <c r="AD65" s="48">
        <f>P65</f>
        <v>200</v>
      </c>
      <c r="AE65" s="66">
        <f>Q65</f>
        <v>20.228833333333334</v>
      </c>
      <c r="AF65" s="67">
        <f>AE65/W65</f>
        <v>25.286041666666666</v>
      </c>
      <c r="AG65" s="49">
        <v>50</v>
      </c>
      <c r="AH65" s="48">
        <f>AC65-AG65</f>
        <v>250</v>
      </c>
      <c r="AI65" s="39">
        <f>AF65*10^6/(AD65*AH65^2)</f>
        <v>2.0228833333333331</v>
      </c>
      <c r="AJ65" s="48">
        <f>$H$13</f>
        <v>13</v>
      </c>
      <c r="AK65" s="49">
        <f>$H$14</f>
        <v>8</v>
      </c>
      <c r="AL65" s="48">
        <f>$H$15</f>
        <v>25</v>
      </c>
      <c r="AM65" s="51" t="str">
        <f>IF(AI65&lt;=V65,"OK","NG")</f>
        <v>OK</v>
      </c>
      <c r="AN65" s="68">
        <f>0.85*($H$7/$H$8)*(1-(SQRT(1-2*AI65/(0.85*$H$7))))</f>
        <v>5.323982860368618E-3</v>
      </c>
      <c r="AO65" s="69">
        <f>1.4/$H$8</f>
        <v>3.4999999999999996E-3</v>
      </c>
      <c r="AP65" s="68">
        <f>0.5*U65</f>
        <v>1.3546874999999996E-2</v>
      </c>
      <c r="AQ65" s="69">
        <f>MAX(AN65:AO65)</f>
        <v>5.323982860368618E-3</v>
      </c>
      <c r="AR65" s="67">
        <f>AQ65*AD65*AH65</f>
        <v>266.1991430184309</v>
      </c>
      <c r="AS65" s="39">
        <f>AR65/((22/7)/4*AJ65^2)</f>
        <v>2.004727273941922</v>
      </c>
      <c r="AT65" s="150">
        <f>ROUNDUP(AS65,0)</f>
        <v>3</v>
      </c>
      <c r="AU65" s="49">
        <f>MAX(AT65,AV65)</f>
        <v>3</v>
      </c>
      <c r="AV65" s="155">
        <v>2</v>
      </c>
      <c r="AW65" s="35">
        <f>AU65*(22/7)/4*AJ65^2</f>
        <v>398.35714285714289</v>
      </c>
      <c r="AX65" s="40" t="str">
        <f>IF(AR65&lt;=AW65,"OK","NG")</f>
        <v>OK</v>
      </c>
      <c r="AY65" s="34">
        <f>(AD65-(2*AL65+2*AK65+AU65*AJ65))/(AU65-1)</f>
        <v>47.5</v>
      </c>
      <c r="AZ65" s="40" t="str">
        <f>IF(AY65&gt;= 25,"OK","NG")</f>
        <v>OK</v>
      </c>
      <c r="BA65" s="34">
        <f>AR65/2</f>
        <v>133.09957150921545</v>
      </c>
      <c r="BB65" s="33">
        <f>BA65/((22/7)/4*AJ65^2)</f>
        <v>1.002363636970961</v>
      </c>
      <c r="BC65" s="160">
        <f>ROUNDUP(BB65,0)</f>
        <v>2</v>
      </c>
      <c r="BD65" s="34">
        <f>MAX(BC65,BE65)</f>
        <v>2</v>
      </c>
      <c r="BE65" s="153">
        <v>2</v>
      </c>
      <c r="BF65" s="33">
        <f>BD65*(22/7)/4*AJ65^2</f>
        <v>265.57142857142856</v>
      </c>
      <c r="BG65" s="36" t="str">
        <f>IF(BA65&lt;=BF65,"OK","NG")</f>
        <v>OK</v>
      </c>
      <c r="BH65" s="31">
        <f>(AD65-(2*AL65+2*AK65+BD65*AJ65))/(BD65-1)</f>
        <v>108</v>
      </c>
      <c r="BI65" s="70" t="str">
        <f>IF(BH65&gt;= 25,"OK","NG")</f>
        <v>OK</v>
      </c>
      <c r="BK65" s="455"/>
      <c r="BL65" s="44" t="s">
        <v>194</v>
      </c>
      <c r="BM65" s="106">
        <v>3.5</v>
      </c>
      <c r="BN65" s="26">
        <f>O65</f>
        <v>300</v>
      </c>
      <c r="BO65" s="42">
        <f>P65</f>
        <v>200</v>
      </c>
      <c r="BP65" s="24">
        <f>R65</f>
        <v>20.228833333333334</v>
      </c>
      <c r="BQ65" s="28">
        <f>BP65/W65</f>
        <v>25.286041666666666</v>
      </c>
      <c r="BR65" s="26">
        <v>50</v>
      </c>
      <c r="BS65" s="42">
        <f>BN65-BR65</f>
        <v>250</v>
      </c>
      <c r="BT65" s="43">
        <f>BQ65*10^6/(BO65*BS65^2)</f>
        <v>2.0228833333333331</v>
      </c>
      <c r="BU65" s="42">
        <f>$H$13</f>
        <v>13</v>
      </c>
      <c r="BV65" s="26">
        <f>$H$14</f>
        <v>8</v>
      </c>
      <c r="BW65" s="42">
        <f>$H$15</f>
        <v>25</v>
      </c>
      <c r="BX65" s="44" t="str">
        <f>IF(BT65&lt;=V65,"OK","NG")</f>
        <v>OK</v>
      </c>
      <c r="BY65" s="45">
        <f>0.85*($H$7/$H$8)*(1-(SQRT(1-2*BT65/(0.85*$H$7))))</f>
        <v>5.323982860368618E-3</v>
      </c>
      <c r="BZ65" s="46">
        <f>1.4/$H$8</f>
        <v>3.4999999999999996E-3</v>
      </c>
      <c r="CA65" s="45">
        <f>0.5*U65</f>
        <v>1.3546874999999996E-2</v>
      </c>
      <c r="CB65" s="46">
        <f>MAX(BY65:BZ65)</f>
        <v>5.323982860368618E-3</v>
      </c>
      <c r="CC65" s="28">
        <f>CB65*BO65*BS65</f>
        <v>266.1991430184309</v>
      </c>
      <c r="CD65" s="43">
        <f>CC65/((22/7)/4*BU65^2)</f>
        <v>2.004727273941922</v>
      </c>
      <c r="CE65" s="163">
        <f>ROUNDUP(CD65,0)</f>
        <v>3</v>
      </c>
      <c r="CF65" s="34">
        <f>MAX(CE65,CG65)</f>
        <v>3</v>
      </c>
      <c r="CG65" s="153">
        <v>2</v>
      </c>
      <c r="CH65" s="43">
        <f>CF65*(22/7)/4*BU65^2</f>
        <v>398.35714285714289</v>
      </c>
      <c r="CI65" s="47" t="str">
        <f>IF(CC65&lt;=CH65,"OK","NG")</f>
        <v>OK</v>
      </c>
      <c r="CJ65" s="26">
        <f>(BO65-(2*BW65+2*BV65+CF65*BU65))/(CF65-1)</f>
        <v>47.5</v>
      </c>
      <c r="CK65" s="47" t="str">
        <f>IF(CJ65&gt;= 25,"OK","NG")</f>
        <v>OK</v>
      </c>
      <c r="CL65" s="26">
        <f>CC65/2</f>
        <v>133.09957150921545</v>
      </c>
      <c r="CM65" s="28">
        <f>CL65/((22/7)/4*BU65^2)</f>
        <v>1.002363636970961</v>
      </c>
      <c r="CN65" s="150">
        <f>ROUNDUP(CM65,0)</f>
        <v>2</v>
      </c>
      <c r="CO65" s="49">
        <f>MAX(CN65,CP65)</f>
        <v>2</v>
      </c>
      <c r="CP65" s="153">
        <v>2</v>
      </c>
      <c r="CQ65" s="28">
        <f>CO65*(22/7)/4*BU65^2</f>
        <v>265.57142857142856</v>
      </c>
      <c r="CR65" s="44" t="str">
        <f>IF(CL65&lt;=CQ65,"OK","NG")</f>
        <v>OK</v>
      </c>
      <c r="CS65" s="42">
        <f>(BO65-(2*BW65+2*BV65+CO65*BU65))/(CO65-1)</f>
        <v>108</v>
      </c>
      <c r="CT65" s="44" t="str">
        <f>IF(CS65&gt;= 25,"OK","NG")</f>
        <v>OK</v>
      </c>
      <c r="CV65" s="455"/>
      <c r="CW65" s="44" t="s">
        <v>194</v>
      </c>
      <c r="CX65" s="106">
        <v>3.5</v>
      </c>
      <c r="CY65" s="48">
        <f>O65</f>
        <v>300</v>
      </c>
      <c r="CZ65" s="49">
        <f>P65</f>
        <v>200</v>
      </c>
      <c r="DA65" s="50">
        <f>S65</f>
        <v>34.678000000000004</v>
      </c>
      <c r="DB65" s="49">
        <v>0.6</v>
      </c>
      <c r="DC65" s="48">
        <f>$H$9</f>
        <v>240</v>
      </c>
      <c r="DD65" s="49">
        <f>1/6*SQRT($H$7)*CZ65*BS65*0.001</f>
        <v>41.666666666666664</v>
      </c>
      <c r="DE65" s="48">
        <f>DB65*DD65</f>
        <v>24.999999999999996</v>
      </c>
      <c r="DF65" s="51" t="str">
        <f>IF(DA65&lt;=DE65,"Tul. Gerser Praktis","Perlu Tul Geser")</f>
        <v>Perlu Tul Geser</v>
      </c>
      <c r="DG65" s="50">
        <f>DA65-DE65</f>
        <v>9.6780000000000079</v>
      </c>
      <c r="DH65" s="49">
        <f>DG65/DB65</f>
        <v>16.130000000000013</v>
      </c>
      <c r="DI65" s="48">
        <v>1</v>
      </c>
      <c r="DJ65" s="49">
        <f>$AK$11</f>
        <v>8</v>
      </c>
      <c r="DK65" s="48">
        <f>DI65*((22/7)/4)*DJ65^2</f>
        <v>50.285714285714285</v>
      </c>
      <c r="DL65" s="49">
        <f>DK65*DC63*BS65/(DH65*10^3)</f>
        <v>187.05163404481428</v>
      </c>
      <c r="DM65" s="52" t="str">
        <f>IF(DH65&lt;(1/3*SQRT($H$7)*CZ65*BS65),"1/2 D - 600","1/4D - 300")</f>
        <v>1/2 D - 600</v>
      </c>
      <c r="DN65" s="49">
        <f>1/2*AH65</f>
        <v>125</v>
      </c>
      <c r="DO65" s="48">
        <v>600</v>
      </c>
      <c r="DP65" s="49">
        <f>MIN(DL65,DN65,DO65)</f>
        <v>125</v>
      </c>
      <c r="DQ65" s="53" t="s">
        <v>323</v>
      </c>
      <c r="DR65" s="143">
        <f>$H$14</f>
        <v>8</v>
      </c>
      <c r="DS65" s="54" t="s">
        <v>41</v>
      </c>
      <c r="DT65" s="55">
        <f>DP65</f>
        <v>125</v>
      </c>
      <c r="DW65" s="455"/>
      <c r="DX65" s="44" t="s">
        <v>194</v>
      </c>
      <c r="DY65" s="106">
        <v>3.5</v>
      </c>
      <c r="DZ65" s="25">
        <f>O65</f>
        <v>300</v>
      </c>
      <c r="EA65" s="26">
        <f>P65</f>
        <v>200</v>
      </c>
      <c r="EB65" s="42">
        <f>$H$13</f>
        <v>13</v>
      </c>
      <c r="EC65" s="26">
        <f>$H$14</f>
        <v>8</v>
      </c>
      <c r="ED65" s="42">
        <f>$H$15</f>
        <v>25</v>
      </c>
      <c r="EE65" s="148">
        <f t="shared" si="4"/>
        <v>3</v>
      </c>
      <c r="EF65" s="34">
        <f>MAX(EE65,EG65)</f>
        <v>3</v>
      </c>
      <c r="EG65" s="153">
        <v>2</v>
      </c>
      <c r="EH65" s="160">
        <f t="shared" si="5"/>
        <v>2</v>
      </c>
      <c r="EI65" s="34">
        <f>MAX(EH65,EJ65)</f>
        <v>2</v>
      </c>
      <c r="EJ65" s="160">
        <v>2</v>
      </c>
      <c r="EK65" s="148">
        <f t="shared" si="6"/>
        <v>3</v>
      </c>
      <c r="EL65" s="34">
        <f>MAX(EK65,EM65)</f>
        <v>3</v>
      </c>
      <c r="EM65" s="153">
        <v>2</v>
      </c>
      <c r="EN65" s="160">
        <f t="shared" si="7"/>
        <v>2</v>
      </c>
      <c r="EO65" s="34">
        <f>MAX(EN65,EP65)</f>
        <v>2</v>
      </c>
      <c r="EP65" s="160">
        <v>2</v>
      </c>
      <c r="EQ65" s="53" t="s">
        <v>323</v>
      </c>
      <c r="ER65" s="143">
        <f>$H$14</f>
        <v>8</v>
      </c>
      <c r="ES65" s="54" t="s">
        <v>41</v>
      </c>
      <c r="ET65" s="55">
        <f>DT65</f>
        <v>125</v>
      </c>
      <c r="EU65" s="55"/>
      <c r="EV65" s="499"/>
    </row>
    <row r="66" spans="1:152" x14ac:dyDescent="0.25">
      <c r="A66" s="138" t="s">
        <v>422</v>
      </c>
      <c r="B66" s="138"/>
      <c r="C66" s="138"/>
      <c r="G66" s="2" t="s">
        <v>277</v>
      </c>
      <c r="H66" s="2" t="s">
        <v>123</v>
      </c>
      <c r="I66" s="112" t="s">
        <v>491</v>
      </c>
      <c r="L66" s="453">
        <v>4</v>
      </c>
      <c r="M66" s="80" t="s">
        <v>214</v>
      </c>
      <c r="N66" s="99"/>
      <c r="O66" s="78"/>
      <c r="P66" s="15"/>
      <c r="Q66" s="82"/>
      <c r="R66" s="16"/>
      <c r="S66" s="82"/>
      <c r="T66" s="15"/>
      <c r="U66" s="82"/>
      <c r="V66" s="16"/>
      <c r="W66" s="107"/>
      <c r="Z66" s="453">
        <v>4</v>
      </c>
      <c r="AA66" s="80" t="s">
        <v>214</v>
      </c>
      <c r="AB66" s="99"/>
      <c r="AC66" s="30"/>
      <c r="AD66" s="31"/>
      <c r="AE66" s="34"/>
      <c r="AF66" s="31"/>
      <c r="AG66" s="34"/>
      <c r="AH66" s="31"/>
      <c r="AI66" s="34"/>
      <c r="AJ66" s="31"/>
      <c r="AK66" s="34"/>
      <c r="AL66" s="31"/>
      <c r="AM66" s="36"/>
      <c r="AN66" s="31"/>
      <c r="AO66" s="34"/>
      <c r="AP66" s="31"/>
      <c r="AQ66" s="34"/>
      <c r="AR66" s="31"/>
      <c r="AS66" s="34"/>
      <c r="AT66" s="148"/>
      <c r="AU66" s="34"/>
      <c r="AV66" s="153"/>
      <c r="AW66" s="61"/>
      <c r="AX66" s="18"/>
      <c r="AY66" s="21"/>
      <c r="AZ66" s="18"/>
      <c r="BA66" s="21"/>
      <c r="BB66" s="20"/>
      <c r="BC66" s="162"/>
      <c r="BD66" s="21"/>
      <c r="BE66" s="154"/>
      <c r="BF66" s="20"/>
      <c r="BG66" s="22"/>
      <c r="BH66" s="20"/>
      <c r="BI66" s="41"/>
      <c r="BK66" s="453">
        <v>4</v>
      </c>
      <c r="BL66" s="80" t="s">
        <v>214</v>
      </c>
      <c r="BM66" s="99"/>
      <c r="BN66" s="57"/>
      <c r="BO66" s="3"/>
      <c r="BP66" s="57"/>
      <c r="BQ66" s="3"/>
      <c r="BR66" s="57"/>
      <c r="BS66" s="3"/>
      <c r="BT66" s="57"/>
      <c r="BU66" s="3"/>
      <c r="BV66" s="57"/>
      <c r="BW66" s="3"/>
      <c r="BX66" s="63"/>
      <c r="BY66" s="3"/>
      <c r="BZ66" s="57"/>
      <c r="CA66" s="3"/>
      <c r="CB66" s="57"/>
      <c r="CC66" s="3"/>
      <c r="CD66" s="57"/>
      <c r="CE66" s="160"/>
      <c r="CF66" s="21"/>
      <c r="CG66" s="154"/>
      <c r="CH66" s="57"/>
      <c r="CI66" s="64"/>
      <c r="CJ66" s="57"/>
      <c r="CK66" s="64"/>
      <c r="CL66" s="57"/>
      <c r="CM66" s="3"/>
      <c r="CN66" s="148"/>
      <c r="CO66" s="21"/>
      <c r="CP66" s="154"/>
      <c r="CQ66" s="3"/>
      <c r="CR66" s="63"/>
      <c r="CS66" s="3"/>
      <c r="CT66" s="63"/>
      <c r="CV66" s="453">
        <v>4</v>
      </c>
      <c r="CW66" s="80" t="s">
        <v>214</v>
      </c>
      <c r="CX66" s="99"/>
      <c r="CY66" s="31"/>
      <c r="CZ66" s="34"/>
      <c r="DA66" s="31"/>
      <c r="DB66" s="34"/>
      <c r="DC66" s="31"/>
      <c r="DD66" s="34"/>
      <c r="DE66" s="31"/>
      <c r="DF66" s="36"/>
      <c r="DG66" s="31"/>
      <c r="DH66" s="34"/>
      <c r="DI66" s="31"/>
      <c r="DJ66" s="34"/>
      <c r="DK66" s="31"/>
      <c r="DL66" s="34"/>
      <c r="DM66" s="40"/>
      <c r="DN66" s="34"/>
      <c r="DO66" s="31"/>
      <c r="DP66" s="34"/>
      <c r="DQ66" s="75"/>
      <c r="DR66" s="115"/>
      <c r="DS66" s="131"/>
      <c r="DT66" s="77"/>
      <c r="DW66" s="453">
        <v>4</v>
      </c>
      <c r="DX66" s="80" t="s">
        <v>214</v>
      </c>
      <c r="DY66" s="99"/>
      <c r="DZ66" s="78"/>
      <c r="EA66" s="15"/>
      <c r="EB66" s="3"/>
      <c r="EC66" s="57"/>
      <c r="ED66" s="3"/>
      <c r="EE66" s="149">
        <f t="shared" si="4"/>
        <v>0</v>
      </c>
      <c r="EF66" s="21"/>
      <c r="EG66" s="154"/>
      <c r="EH66" s="162">
        <f t="shared" si="5"/>
        <v>0</v>
      </c>
      <c r="EI66" s="21"/>
      <c r="EJ66" s="162"/>
      <c r="EK66" s="149">
        <f t="shared" si="6"/>
        <v>0</v>
      </c>
      <c r="EL66" s="21"/>
      <c r="EM66" s="154"/>
      <c r="EN66" s="162">
        <f t="shared" si="7"/>
        <v>0</v>
      </c>
      <c r="EO66" s="21"/>
      <c r="EP66" s="154"/>
      <c r="EQ66" s="75"/>
      <c r="ER66" s="115"/>
      <c r="ES66" s="131"/>
      <c r="ET66" s="77"/>
      <c r="EU66" s="77"/>
      <c r="EV66" s="499" t="s">
        <v>505</v>
      </c>
    </row>
    <row r="67" spans="1:152" x14ac:dyDescent="0.25">
      <c r="A67" s="138" t="s">
        <v>423</v>
      </c>
      <c r="B67" s="138"/>
      <c r="C67" s="138"/>
      <c r="G67" s="2" t="s">
        <v>139</v>
      </c>
      <c r="H67" s="2" t="s">
        <v>278</v>
      </c>
      <c r="I67" s="270" t="s">
        <v>128</v>
      </c>
      <c r="L67" s="454"/>
      <c r="M67" s="44" t="s">
        <v>194</v>
      </c>
      <c r="N67" s="106">
        <v>3</v>
      </c>
      <c r="O67" s="25">
        <f>'QE &amp; MOMEN'!S56*1000</f>
        <v>300</v>
      </c>
      <c r="P67" s="26">
        <f>'QE &amp; MOMEN'!V56*1000</f>
        <v>200</v>
      </c>
      <c r="Q67" s="27">
        <f>'QE &amp; MOMEN'!BC50</f>
        <v>8.7149269837265564</v>
      </c>
      <c r="R67" s="24">
        <f>'QE &amp; MOMEN'!BA50</f>
        <v>19.595529522509764</v>
      </c>
      <c r="S67" s="27">
        <f>'QE &amp; MOMEN'!BE50</f>
        <v>34.165054612734373</v>
      </c>
      <c r="T67" s="26">
        <f>$H$4</f>
        <v>0.85</v>
      </c>
      <c r="U67" s="27">
        <f>T67*0.85*$H$7/$H$8*600/(600+$H$8)</f>
        <v>2.7093749999999993E-2</v>
      </c>
      <c r="V67" s="24">
        <f>0.75*U67*$H$8*(1-(0.5*0.75*U67*$H$8/(0.85*$H$7)))</f>
        <v>6.5736210937499981</v>
      </c>
      <c r="W67" s="43">
        <f>$H$27</f>
        <v>0.8</v>
      </c>
      <c r="Z67" s="454"/>
      <c r="AA67" s="44" t="s">
        <v>194</v>
      </c>
      <c r="AB67" s="106">
        <v>3</v>
      </c>
      <c r="AC67" s="30">
        <f>O67</f>
        <v>300</v>
      </c>
      <c r="AD67" s="31">
        <f>P67</f>
        <v>200</v>
      </c>
      <c r="AE67" s="32">
        <f>Q67</f>
        <v>8.7149269837265564</v>
      </c>
      <c r="AF67" s="33">
        <f>AE67/W67</f>
        <v>10.893658729658195</v>
      </c>
      <c r="AG67" s="34">
        <v>50</v>
      </c>
      <c r="AH67" s="31">
        <f>AC67-AG67</f>
        <v>250</v>
      </c>
      <c r="AI67" s="35">
        <f>AF67*10^6/(AD67*AH67^2)</f>
        <v>0.87149269837265564</v>
      </c>
      <c r="AJ67" s="31">
        <f>$H$13</f>
        <v>13</v>
      </c>
      <c r="AK67" s="34">
        <f>$H$14</f>
        <v>8</v>
      </c>
      <c r="AL67" s="31">
        <f>$H$15</f>
        <v>25</v>
      </c>
      <c r="AM67" s="36" t="str">
        <f>IF(AI67&lt;=V67,"OK","NG")</f>
        <v>OK</v>
      </c>
      <c r="AN67" s="37">
        <f>0.85*($H$7/$H$8)*(1-(SQRT(1-2*AI67/(0.85*$H$7))))</f>
        <v>2.2253401092427417E-3</v>
      </c>
      <c r="AO67" s="38">
        <f>1.4/$H$8</f>
        <v>3.4999999999999996E-3</v>
      </c>
      <c r="AP67" s="37">
        <f>0.5*U67</f>
        <v>1.3546874999999996E-2</v>
      </c>
      <c r="AQ67" s="38">
        <f>MAX(AN67:AO67)</f>
        <v>3.4999999999999996E-3</v>
      </c>
      <c r="AR67" s="33">
        <f>AQ67*AD67*AH67</f>
        <v>175</v>
      </c>
      <c r="AS67" s="35">
        <f>AR67/((22/7)/4*AJ67^2)</f>
        <v>1.3179128563743949</v>
      </c>
      <c r="AT67" s="148">
        <f>ROUNDUP(AS67,0)</f>
        <v>2</v>
      </c>
      <c r="AU67" s="49">
        <f>MAX(AT67,AV67)</f>
        <v>2</v>
      </c>
      <c r="AV67" s="153">
        <v>2</v>
      </c>
      <c r="AW67" s="165">
        <f>AU67*(22/7)/4*AJ67^2</f>
        <v>265.57142857142856</v>
      </c>
      <c r="AX67" s="40" t="str">
        <f>IF(AR67&lt;=AW67,"OK","NG")</f>
        <v>OK</v>
      </c>
      <c r="AY67" s="34">
        <f>(AD67-(2*AL67+2*AK67+AU67*AJ67))/(AU67-1)</f>
        <v>108</v>
      </c>
      <c r="AZ67" s="40" t="str">
        <f>IF(AY67&gt;= 25,"OK","NG")</f>
        <v>OK</v>
      </c>
      <c r="BA67" s="34">
        <f>AR67/2</f>
        <v>87.5</v>
      </c>
      <c r="BB67" s="33">
        <f>BA67/((22/7)/4*AJ67^2)</f>
        <v>0.65895642818719746</v>
      </c>
      <c r="BC67" s="160">
        <f>ROUNDUP(BB67,0)</f>
        <v>1</v>
      </c>
      <c r="BD67" s="49">
        <f>MAX(BC67,BE67)</f>
        <v>2</v>
      </c>
      <c r="BE67" s="153">
        <v>2</v>
      </c>
      <c r="BF67" s="33">
        <f>BD67*(22/7)/4*AJ67^2</f>
        <v>265.57142857142856</v>
      </c>
      <c r="BG67" s="36" t="str">
        <f>IF(BA67&lt;=BF67,"OK","NG")</f>
        <v>OK</v>
      </c>
      <c r="BH67" s="31">
        <f>(AD67-(2*AL67+2*AK67+BD67*AJ67))/(BD67-1)</f>
        <v>108</v>
      </c>
      <c r="BI67" s="41" t="str">
        <f>IF(BH67&gt;= 25,"OK","NG")</f>
        <v>OK</v>
      </c>
      <c r="BK67" s="454"/>
      <c r="BL67" s="44" t="s">
        <v>194</v>
      </c>
      <c r="BM67" s="106">
        <v>3</v>
      </c>
      <c r="BN67" s="57">
        <f>O67</f>
        <v>300</v>
      </c>
      <c r="BO67" s="3">
        <f>P67</f>
        <v>200</v>
      </c>
      <c r="BP67" s="59">
        <f>R67</f>
        <v>19.595529522509764</v>
      </c>
      <c r="BQ67" s="60">
        <f>BP67/W67</f>
        <v>24.494411903137205</v>
      </c>
      <c r="BR67" s="57">
        <v>50</v>
      </c>
      <c r="BS67" s="3">
        <f>BN67-BR67</f>
        <v>250</v>
      </c>
      <c r="BT67" s="71">
        <f>BQ67*10^6/(BO67*BS67^2)</f>
        <v>1.9595529522509765</v>
      </c>
      <c r="BU67" s="3">
        <f>$H$13</f>
        <v>13</v>
      </c>
      <c r="BV67" s="57">
        <f>$H$14</f>
        <v>8</v>
      </c>
      <c r="BW67" s="3">
        <f>$H$15</f>
        <v>25</v>
      </c>
      <c r="BX67" s="63" t="str">
        <f>IF(BT67&lt;=V67,"OK","NG")</f>
        <v>OK</v>
      </c>
      <c r="BY67" s="72">
        <f>0.85*($H$7/$H$8)*(1-(SQRT(1-2*BT67/(0.85*$H$7))))</f>
        <v>5.1483455516296529E-3</v>
      </c>
      <c r="BZ67" s="73">
        <f>1.4/$H$8</f>
        <v>3.4999999999999996E-3</v>
      </c>
      <c r="CA67" s="72">
        <f>0.5*U67</f>
        <v>1.3546874999999996E-2</v>
      </c>
      <c r="CB67" s="73">
        <f>MAX(BY67:BZ67)</f>
        <v>5.1483455516296529E-3</v>
      </c>
      <c r="CC67" s="60">
        <f>CB67*BO67*BS67</f>
        <v>257.41727758148267</v>
      </c>
      <c r="CD67" s="71">
        <f>CC67/((22/7)/4*BU67^2)</f>
        <v>1.9385916547287561</v>
      </c>
      <c r="CE67" s="160">
        <f>ROUNDUP(CD67,0)</f>
        <v>2</v>
      </c>
      <c r="CF67" s="49">
        <f>MAX(CE67,CG67)</f>
        <v>2</v>
      </c>
      <c r="CG67" s="153">
        <v>2</v>
      </c>
      <c r="CH67" s="43">
        <f>CF67*(22/7)/4*BU67^2</f>
        <v>265.57142857142856</v>
      </c>
      <c r="CI67" s="47" t="str">
        <f>IF(CC67&lt;=CH67,"OK","NG")</f>
        <v>OK</v>
      </c>
      <c r="CJ67" s="26">
        <f>(BO67-(2*BW67+2*BV67+CF67*BU67))/(CF67-1)</f>
        <v>108</v>
      </c>
      <c r="CK67" s="47" t="str">
        <f>IF(CJ67&gt;= 25,"OK","NG")</f>
        <v>OK</v>
      </c>
      <c r="CL67" s="26">
        <f>CC67/2</f>
        <v>128.70863879074133</v>
      </c>
      <c r="CM67" s="28">
        <f>CL67/((22/7)/4*BU67^2)</f>
        <v>0.96929582736437803</v>
      </c>
      <c r="CN67" s="150">
        <f>ROUNDUP(CM67,0)</f>
        <v>1</v>
      </c>
      <c r="CO67" s="49">
        <f>MAX(CN67,CP67)</f>
        <v>2</v>
      </c>
      <c r="CP67" s="153">
        <v>2</v>
      </c>
      <c r="CQ67" s="28">
        <f>CO67*(22/7)/4*BU67^2</f>
        <v>265.57142857142856</v>
      </c>
      <c r="CR67" s="44" t="str">
        <f>IF(CL67&lt;=CQ67,"OK","NG")</f>
        <v>OK</v>
      </c>
      <c r="CS67" s="42">
        <f>(BO67-(2*BW67+2*BV67+CO67*BU67))/(CO67-1)</f>
        <v>108</v>
      </c>
      <c r="CT67" s="63" t="str">
        <f>IF(CS67&gt;= 25,"OK","NG")</f>
        <v>OK</v>
      </c>
      <c r="CV67" s="454"/>
      <c r="CW67" s="44" t="s">
        <v>194</v>
      </c>
      <c r="CX67" s="106">
        <v>3</v>
      </c>
      <c r="CY67" s="31">
        <f>O67</f>
        <v>300</v>
      </c>
      <c r="CZ67" s="34">
        <f>P67</f>
        <v>200</v>
      </c>
      <c r="DA67" s="74">
        <f>S67</f>
        <v>34.165054612734373</v>
      </c>
      <c r="DB67" s="34">
        <v>0.6</v>
      </c>
      <c r="DC67" s="31">
        <f>$H$9</f>
        <v>240</v>
      </c>
      <c r="DD67" s="34">
        <f>1/6*SQRT($H$7)*CZ67*BS67*0.001</f>
        <v>41.666666666666664</v>
      </c>
      <c r="DE67" s="31">
        <f>DB67*DD67</f>
        <v>24.999999999999996</v>
      </c>
      <c r="DF67" s="36" t="str">
        <f>IF(DA67&lt;=DE67,"Tul. Gerser Praktis","Perlu Tul Geser")</f>
        <v>Perlu Tul Geser</v>
      </c>
      <c r="DG67" s="74">
        <f>DA67-DE67</f>
        <v>9.1650546127343766</v>
      </c>
      <c r="DH67" s="34">
        <f>DG67/DB67</f>
        <v>15.275091021223961</v>
      </c>
      <c r="DI67" s="31">
        <v>1</v>
      </c>
      <c r="DJ67" s="34">
        <f>$AK$11</f>
        <v>8</v>
      </c>
      <c r="DK67" s="31">
        <f>DI67*((22/7)/4)*DJ67^2</f>
        <v>50.285714285714285</v>
      </c>
      <c r="DL67" s="34">
        <f>DK67*DC65*BS67/(DH67*10^3)</f>
        <v>197.52045031683872</v>
      </c>
      <c r="DM67" s="52" t="str">
        <f>IF(DH67&lt;(1/3*SQRT($H$7)*CZ67*BS67),"1/2 D - 600","1/4D - 300")</f>
        <v>1/2 D - 600</v>
      </c>
      <c r="DN67" s="34">
        <f>1/2*AH67</f>
        <v>125</v>
      </c>
      <c r="DO67" s="31">
        <v>600</v>
      </c>
      <c r="DP67" s="34">
        <f>MIN(DL67,DN67,DO67)</f>
        <v>125</v>
      </c>
      <c r="DQ67" s="75" t="s">
        <v>323</v>
      </c>
      <c r="DR67" s="115">
        <f>$H$14</f>
        <v>8</v>
      </c>
      <c r="DS67" s="76" t="s">
        <v>41</v>
      </c>
      <c r="DT67" s="77">
        <f>DP67</f>
        <v>125</v>
      </c>
      <c r="DW67" s="454"/>
      <c r="DX67" s="44" t="s">
        <v>194</v>
      </c>
      <c r="DY67" s="106">
        <v>3</v>
      </c>
      <c r="DZ67" s="25">
        <f>O67</f>
        <v>300</v>
      </c>
      <c r="EA67" s="26">
        <f>P67</f>
        <v>200</v>
      </c>
      <c r="EB67" s="3">
        <f>$H$13</f>
        <v>13</v>
      </c>
      <c r="EC67" s="57">
        <f>$H$14</f>
        <v>8</v>
      </c>
      <c r="ED67" s="3">
        <f>$H$15</f>
        <v>25</v>
      </c>
      <c r="EE67" s="150">
        <f t="shared" si="4"/>
        <v>2</v>
      </c>
      <c r="EF67" s="49">
        <f>MAX(EE67,EG67)</f>
        <v>2</v>
      </c>
      <c r="EG67" s="155">
        <v>2</v>
      </c>
      <c r="EH67" s="163">
        <f t="shared" si="5"/>
        <v>1</v>
      </c>
      <c r="EI67" s="49">
        <f>MAX(EH67,EJ67)</f>
        <v>2</v>
      </c>
      <c r="EJ67" s="163">
        <v>2</v>
      </c>
      <c r="EK67" s="150">
        <f t="shared" si="6"/>
        <v>2</v>
      </c>
      <c r="EL67" s="49">
        <f>MAX(EK67,EM67)</f>
        <v>2</v>
      </c>
      <c r="EM67" s="155">
        <v>2</v>
      </c>
      <c r="EN67" s="163">
        <f t="shared" si="7"/>
        <v>1</v>
      </c>
      <c r="EO67" s="49">
        <f>MAX(EN67,EP67)</f>
        <v>2</v>
      </c>
      <c r="EP67" s="155">
        <v>2</v>
      </c>
      <c r="EQ67" s="75" t="s">
        <v>323</v>
      </c>
      <c r="ER67" s="115">
        <f>$H$14</f>
        <v>8</v>
      </c>
      <c r="ES67" s="76" t="s">
        <v>41</v>
      </c>
      <c r="ET67" s="55">
        <f>DT67</f>
        <v>125</v>
      </c>
      <c r="EU67" s="55"/>
      <c r="EV67" s="499"/>
    </row>
    <row r="68" spans="1:152" x14ac:dyDescent="0.25">
      <c r="A68" s="138"/>
      <c r="B68" s="138"/>
      <c r="C68" s="138"/>
      <c r="G68" s="184" t="s">
        <v>300</v>
      </c>
      <c r="H68" s="184" t="s">
        <v>418</v>
      </c>
      <c r="L68" s="454"/>
      <c r="M68" s="80" t="s">
        <v>217</v>
      </c>
      <c r="N68" s="99"/>
      <c r="O68" s="56"/>
      <c r="P68" s="57"/>
      <c r="Q68" s="58"/>
      <c r="R68" s="59"/>
      <c r="S68" s="58"/>
      <c r="T68" s="57"/>
      <c r="U68" s="58"/>
      <c r="V68" s="59"/>
      <c r="W68" s="71"/>
      <c r="Z68" s="454"/>
      <c r="AA68" s="80" t="s">
        <v>217</v>
      </c>
      <c r="AB68" s="99"/>
      <c r="AC68" s="61"/>
      <c r="AD68" s="20"/>
      <c r="AE68" s="21"/>
      <c r="AF68" s="20"/>
      <c r="AG68" s="21"/>
      <c r="AH68" s="20"/>
      <c r="AI68" s="21"/>
      <c r="AJ68" s="20"/>
      <c r="AK68" s="21"/>
      <c r="AL68" s="20"/>
      <c r="AM68" s="22"/>
      <c r="AN68" s="101"/>
      <c r="AO68" s="21"/>
      <c r="AP68" s="20"/>
      <c r="AQ68" s="21"/>
      <c r="AR68" s="20"/>
      <c r="AS68" s="21"/>
      <c r="AT68" s="149"/>
      <c r="AU68" s="34"/>
      <c r="AV68" s="154"/>
      <c r="AW68" s="61"/>
      <c r="AX68" s="18"/>
      <c r="AY68" s="21"/>
      <c r="AZ68" s="18"/>
      <c r="BA68" s="21"/>
      <c r="BB68" s="20"/>
      <c r="BC68" s="162"/>
      <c r="BD68" s="34"/>
      <c r="BE68" s="154"/>
      <c r="BF68" s="20"/>
      <c r="BG68" s="22"/>
      <c r="BH68" s="20"/>
      <c r="BI68" s="62"/>
      <c r="BK68" s="454"/>
      <c r="BL68" s="80" t="s">
        <v>217</v>
      </c>
      <c r="BM68" s="99"/>
      <c r="BN68" s="15"/>
      <c r="BO68" s="79"/>
      <c r="BP68" s="15"/>
      <c r="BQ68" s="79"/>
      <c r="BR68" s="15"/>
      <c r="BS68" s="79"/>
      <c r="BT68" s="15"/>
      <c r="BU68" s="79"/>
      <c r="BV68" s="15"/>
      <c r="BW68" s="79"/>
      <c r="BX68" s="80"/>
      <c r="BY68" s="79"/>
      <c r="BZ68" s="15"/>
      <c r="CA68" s="79"/>
      <c r="CB68" s="15"/>
      <c r="CC68" s="79"/>
      <c r="CD68" s="15"/>
      <c r="CE68" s="162"/>
      <c r="CF68" s="34"/>
      <c r="CG68" s="154"/>
      <c r="CH68" s="15"/>
      <c r="CI68" s="81"/>
      <c r="CJ68" s="15"/>
      <c r="CK68" s="81"/>
      <c r="CL68" s="15"/>
      <c r="CM68" s="79"/>
      <c r="CN68" s="149"/>
      <c r="CO68" s="34"/>
      <c r="CP68" s="154"/>
      <c r="CQ68" s="79"/>
      <c r="CR68" s="80"/>
      <c r="CS68" s="79"/>
      <c r="CT68" s="80"/>
      <c r="CV68" s="454"/>
      <c r="CW68" s="80" t="s">
        <v>217</v>
      </c>
      <c r="CX68" s="99"/>
      <c r="CY68" s="20"/>
      <c r="CZ68" s="21"/>
      <c r="DA68" s="20"/>
      <c r="DB68" s="21"/>
      <c r="DC68" s="20"/>
      <c r="DD68" s="21"/>
      <c r="DE68" s="20"/>
      <c r="DF68" s="22"/>
      <c r="DG68" s="20"/>
      <c r="DH68" s="21"/>
      <c r="DI68" s="20"/>
      <c r="DJ68" s="21"/>
      <c r="DK68" s="20"/>
      <c r="DL68" s="21"/>
      <c r="DM68" s="18"/>
      <c r="DN68" s="21"/>
      <c r="DO68" s="20"/>
      <c r="DP68" s="21"/>
      <c r="DQ68" s="132"/>
      <c r="DR68" s="141"/>
      <c r="DS68" s="102"/>
      <c r="DT68" s="133"/>
      <c r="DW68" s="454"/>
      <c r="DX68" s="80" t="s">
        <v>217</v>
      </c>
      <c r="DY68" s="99"/>
      <c r="DZ68" s="56"/>
      <c r="EA68" s="57"/>
      <c r="EB68" s="79"/>
      <c r="EC68" s="15"/>
      <c r="ED68" s="79"/>
      <c r="EE68" s="148">
        <f t="shared" si="4"/>
        <v>0</v>
      </c>
      <c r="EF68" s="34"/>
      <c r="EG68" s="153"/>
      <c r="EH68" s="160">
        <f t="shared" si="5"/>
        <v>0</v>
      </c>
      <c r="EI68" s="34"/>
      <c r="EJ68" s="160"/>
      <c r="EK68" s="148">
        <f t="shared" si="6"/>
        <v>0</v>
      </c>
      <c r="EL68" s="34"/>
      <c r="EM68" s="153"/>
      <c r="EN68" s="160">
        <f t="shared" si="7"/>
        <v>0</v>
      </c>
      <c r="EO68" s="34"/>
      <c r="EP68" s="160"/>
      <c r="EQ68" s="132"/>
      <c r="ER68" s="141"/>
      <c r="ES68" s="102"/>
      <c r="ET68" s="133"/>
      <c r="EU68" s="133"/>
      <c r="EV68" s="499" t="s">
        <v>507</v>
      </c>
    </row>
    <row r="69" spans="1:152" x14ac:dyDescent="0.25">
      <c r="A69" s="138" t="s">
        <v>424</v>
      </c>
      <c r="G69" s="2" t="s">
        <v>303</v>
      </c>
      <c r="H69" s="2" t="s">
        <v>416</v>
      </c>
      <c r="I69" s="112" t="s">
        <v>109</v>
      </c>
      <c r="L69" s="455"/>
      <c r="M69" s="44" t="s">
        <v>194</v>
      </c>
      <c r="N69" s="106">
        <v>3.5</v>
      </c>
      <c r="O69" s="25">
        <f>'QE &amp; MOMEN'!S58*1000</f>
        <v>300</v>
      </c>
      <c r="P69" s="26">
        <f>'QE &amp; MOMEN'!V58*1000</f>
        <v>200</v>
      </c>
      <c r="Q69" s="27">
        <f>'QE &amp; MOMEN'!AA58</f>
        <v>26.377166666666668</v>
      </c>
      <c r="R69" s="24">
        <f>'QE &amp; MOMEN'!AA58</f>
        <v>26.377166666666668</v>
      </c>
      <c r="S69" s="27">
        <f>'QE &amp; MOMEN'!AB58</f>
        <v>45.218000000000004</v>
      </c>
      <c r="T69" s="26">
        <f>$H$4</f>
        <v>0.85</v>
      </c>
      <c r="U69" s="27">
        <f>T69*0.85*$H$7/$H$8*600/(600+$H$8)</f>
        <v>2.7093749999999993E-2</v>
      </c>
      <c r="V69" s="24">
        <f>0.75*U69*$H$8*(1-(0.5*0.75*U69*$H$8/(0.85*$H$7)))</f>
        <v>6.5736210937499981</v>
      </c>
      <c r="W69" s="43">
        <f>$H$27</f>
        <v>0.8</v>
      </c>
      <c r="Z69" s="455"/>
      <c r="AA69" s="44" t="s">
        <v>194</v>
      </c>
      <c r="AB69" s="106">
        <v>3.5</v>
      </c>
      <c r="AC69" s="65">
        <f>O69</f>
        <v>300</v>
      </c>
      <c r="AD69" s="48">
        <f>P69</f>
        <v>200</v>
      </c>
      <c r="AE69" s="66">
        <f>Q69</f>
        <v>26.377166666666668</v>
      </c>
      <c r="AF69" s="67">
        <f>AE69/W69</f>
        <v>32.971458333333331</v>
      </c>
      <c r="AG69" s="49">
        <v>50</v>
      </c>
      <c r="AH69" s="48">
        <f>AC69-AG69</f>
        <v>250</v>
      </c>
      <c r="AI69" s="39">
        <f>AF69*10^6/(AD69*AH69^2)</f>
        <v>2.6377166666666665</v>
      </c>
      <c r="AJ69" s="48">
        <f>$H$13</f>
        <v>13</v>
      </c>
      <c r="AK69" s="49">
        <f>$H$14</f>
        <v>8</v>
      </c>
      <c r="AL69" s="48">
        <f>$H$15</f>
        <v>25</v>
      </c>
      <c r="AM69" s="51" t="str">
        <f>IF(AI69&lt;=V69,"OK","NG")</f>
        <v>OK</v>
      </c>
      <c r="AN69" s="68">
        <f>0.85*($H$7/$H$8)*(1-(SQRT(1-2*AI69/(0.85*$H$7))))</f>
        <v>7.063930370467225E-3</v>
      </c>
      <c r="AO69" s="69">
        <f>1.4/$H$8</f>
        <v>3.4999999999999996E-3</v>
      </c>
      <c r="AP69" s="68">
        <f>0.5*U69</f>
        <v>1.3546874999999996E-2</v>
      </c>
      <c r="AQ69" s="69">
        <f>MAX(AN69:AO69)</f>
        <v>7.063930370467225E-3</v>
      </c>
      <c r="AR69" s="67">
        <f>AQ69*AD69*AH69</f>
        <v>353.19651852336125</v>
      </c>
      <c r="AS69" s="39">
        <f>AR69/((22/7)/4*AJ69^2)</f>
        <v>2.6598984719349423</v>
      </c>
      <c r="AT69" s="150">
        <f>ROUNDUP(AS69,0)</f>
        <v>3</v>
      </c>
      <c r="AU69" s="49">
        <f>MAX(AT69,AV69)</f>
        <v>3</v>
      </c>
      <c r="AV69" s="155">
        <v>2</v>
      </c>
      <c r="AW69" s="164">
        <f>AU69*(22/7)/4*AJ69^2</f>
        <v>398.35714285714289</v>
      </c>
      <c r="AX69" s="52" t="str">
        <f>IF(AR69&lt;=AW69,"OK","NG")</f>
        <v>OK</v>
      </c>
      <c r="AY69" s="49">
        <f>(AD69-(2*AL69+2*AK69+AU69*AJ69))/(AU69-1)</f>
        <v>47.5</v>
      </c>
      <c r="AZ69" s="52" t="str">
        <f>IF(AY69&gt;= 25,"OK","NG")</f>
        <v>OK</v>
      </c>
      <c r="BA69" s="49">
        <f>AR69/2</f>
        <v>176.59825926168062</v>
      </c>
      <c r="BB69" s="67">
        <f>BA69/((22/7)/4*AJ69^2)</f>
        <v>1.3299492359674712</v>
      </c>
      <c r="BC69" s="163">
        <f>ROUNDUP(BB69,0)</f>
        <v>2</v>
      </c>
      <c r="BD69" s="49">
        <f>MAX(BC69,BE69)</f>
        <v>2</v>
      </c>
      <c r="BE69" s="155">
        <v>2</v>
      </c>
      <c r="BF69" s="67">
        <f>BD69*(22/7)/4*AJ69^2</f>
        <v>265.57142857142856</v>
      </c>
      <c r="BG69" s="51" t="str">
        <f>IF(BA69&lt;=BF69,"OK","NG")</f>
        <v>OK</v>
      </c>
      <c r="BH69" s="48">
        <f>(AD69-(2*AL69+2*AK69+BD69*AJ69))/(BD69-1)</f>
        <v>108</v>
      </c>
      <c r="BI69" s="70" t="str">
        <f>IF(BH69&gt;= 25,"OK","NG")</f>
        <v>OK</v>
      </c>
      <c r="BK69" s="455"/>
      <c r="BL69" s="44" t="s">
        <v>194</v>
      </c>
      <c r="BM69" s="106">
        <v>3.5</v>
      </c>
      <c r="BN69" s="26">
        <f>O69</f>
        <v>300</v>
      </c>
      <c r="BO69" s="42">
        <f>P69</f>
        <v>200</v>
      </c>
      <c r="BP69" s="24">
        <f>R69</f>
        <v>26.377166666666668</v>
      </c>
      <c r="BQ69" s="28">
        <f>BP69/W69</f>
        <v>32.971458333333331</v>
      </c>
      <c r="BR69" s="26">
        <v>50</v>
      </c>
      <c r="BS69" s="42">
        <f>BN69-BR69</f>
        <v>250</v>
      </c>
      <c r="BT69" s="43">
        <f>BQ69*10^6/(BO69*BS69^2)</f>
        <v>2.6377166666666665</v>
      </c>
      <c r="BU69" s="42">
        <f>$H$13</f>
        <v>13</v>
      </c>
      <c r="BV69" s="26">
        <f>$H$14</f>
        <v>8</v>
      </c>
      <c r="BW69" s="42">
        <f>$H$15</f>
        <v>25</v>
      </c>
      <c r="BX69" s="44" t="str">
        <f>IF(BT69&lt;=V69,"OK","NG")</f>
        <v>OK</v>
      </c>
      <c r="BY69" s="45">
        <f>0.85*($H$7/$H$8)*(1-(SQRT(1-2*BT69/(0.85*$H$7))))</f>
        <v>7.063930370467225E-3</v>
      </c>
      <c r="BZ69" s="46">
        <f>1.4/$H$8</f>
        <v>3.4999999999999996E-3</v>
      </c>
      <c r="CA69" s="45">
        <f>0.5*U69</f>
        <v>1.3546874999999996E-2</v>
      </c>
      <c r="CB69" s="46">
        <f>MAX(BY69:BZ69)</f>
        <v>7.063930370467225E-3</v>
      </c>
      <c r="CC69" s="28">
        <f>CB69*BO69*BS69</f>
        <v>353.19651852336125</v>
      </c>
      <c r="CD69" s="43">
        <f>CC69/((22/7)/4*BU69^2)</f>
        <v>2.6598984719349423</v>
      </c>
      <c r="CE69" s="163">
        <f>ROUNDUP(CD69,0)</f>
        <v>3</v>
      </c>
      <c r="CF69" s="49">
        <f>MAX(CE69,CG69)</f>
        <v>3</v>
      </c>
      <c r="CG69" s="155">
        <v>2</v>
      </c>
      <c r="CH69" s="43">
        <f>CF69*(22/7)/4*BU69^2</f>
        <v>398.35714285714289</v>
      </c>
      <c r="CI69" s="47" t="str">
        <f>IF(CC69&lt;=CH69,"OK","NG")</f>
        <v>OK</v>
      </c>
      <c r="CJ69" s="26">
        <f>(BO69-(2*BW69+2*BV69+CF69*BU69))/(CF69-1)</f>
        <v>47.5</v>
      </c>
      <c r="CK69" s="47" t="str">
        <f>IF(CJ69&gt;= 25,"OK","NG")</f>
        <v>OK</v>
      </c>
      <c r="CL69" s="26">
        <f>CC69/2</f>
        <v>176.59825926168062</v>
      </c>
      <c r="CM69" s="28">
        <f>CL69/((22/7)/4*BU69^2)</f>
        <v>1.3299492359674712</v>
      </c>
      <c r="CN69" s="150">
        <f>ROUNDUP(CM69,0)</f>
        <v>2</v>
      </c>
      <c r="CO69" s="49">
        <f>MAX(CN69,CP69)</f>
        <v>2</v>
      </c>
      <c r="CP69" s="153">
        <v>2</v>
      </c>
      <c r="CQ69" s="28">
        <f>CO69*(22/7)/4*BU69^2</f>
        <v>265.57142857142856</v>
      </c>
      <c r="CR69" s="44" t="str">
        <f>IF(CL69&lt;=CQ69,"OK","NG")</f>
        <v>OK</v>
      </c>
      <c r="CS69" s="42">
        <f>(BO69-(2*BW69+2*BV69+CO69*BU69))/(CO69-1)</f>
        <v>108</v>
      </c>
      <c r="CT69" s="44" t="str">
        <f>IF(CS69&gt;= 25,"OK","NG")</f>
        <v>OK</v>
      </c>
      <c r="CV69" s="455"/>
      <c r="CW69" s="44" t="s">
        <v>194</v>
      </c>
      <c r="CX69" s="106">
        <v>3.5</v>
      </c>
      <c r="CY69" s="48">
        <f>O69</f>
        <v>300</v>
      </c>
      <c r="CZ69" s="49">
        <f>P69</f>
        <v>200</v>
      </c>
      <c r="DA69" s="50">
        <f>S69</f>
        <v>45.218000000000004</v>
      </c>
      <c r="DB69" s="49">
        <v>0.6</v>
      </c>
      <c r="DC69" s="48">
        <f>$H$9</f>
        <v>240</v>
      </c>
      <c r="DD69" s="49">
        <f>1/6*SQRT($H$7)*CZ69*BS69*0.001</f>
        <v>41.666666666666664</v>
      </c>
      <c r="DE69" s="48">
        <f>DB69*DD69</f>
        <v>24.999999999999996</v>
      </c>
      <c r="DF69" s="51" t="str">
        <f>IF(DA69&lt;=DE69,"Tul. Gerser Praktis","Perlu Tul Geser")</f>
        <v>Perlu Tul Geser</v>
      </c>
      <c r="DG69" s="50">
        <f>DA69-DE69</f>
        <v>20.218000000000007</v>
      </c>
      <c r="DH69" s="49">
        <f>DG69/DB69</f>
        <v>33.69666666666668</v>
      </c>
      <c r="DI69" s="48">
        <v>1</v>
      </c>
      <c r="DJ69" s="49">
        <f>$AK$11</f>
        <v>8</v>
      </c>
      <c r="DK69" s="48">
        <f>DI69*((22/7)/4)*DJ69^2</f>
        <v>50.285714285714285</v>
      </c>
      <c r="DL69" s="49">
        <f>DK69*DC67*BS69/(DH69*10^3)</f>
        <v>89.538318047567188</v>
      </c>
      <c r="DM69" s="52" t="str">
        <f>IF(DH69&lt;(1/3*SQRT($H$7)*CZ69*BS69),"1/2 D - 600","1/4D - 300")</f>
        <v>1/2 D - 600</v>
      </c>
      <c r="DN69" s="49">
        <f>1/2*AH69</f>
        <v>125</v>
      </c>
      <c r="DO69" s="48">
        <v>600</v>
      </c>
      <c r="DP69" s="39">
        <f>MIN(DL69,DN69,DO69)</f>
        <v>89.538318047567188</v>
      </c>
      <c r="DQ69" s="53" t="s">
        <v>323</v>
      </c>
      <c r="DR69" s="143">
        <f>$H$14</f>
        <v>8</v>
      </c>
      <c r="DS69" s="54" t="s">
        <v>41</v>
      </c>
      <c r="DT69" s="88">
        <f>ROUNDDOWN(DP69,-1)</f>
        <v>80</v>
      </c>
      <c r="DW69" s="455"/>
      <c r="DX69" s="44" t="s">
        <v>194</v>
      </c>
      <c r="DY69" s="106">
        <v>3.5</v>
      </c>
      <c r="DZ69" s="25">
        <f>O69</f>
        <v>300</v>
      </c>
      <c r="EA69" s="26">
        <f>P69</f>
        <v>200</v>
      </c>
      <c r="EB69" s="42">
        <f>$H$13</f>
        <v>13</v>
      </c>
      <c r="EC69" s="26">
        <f>$H$14</f>
        <v>8</v>
      </c>
      <c r="ED69" s="42">
        <f>$H$15</f>
        <v>25</v>
      </c>
      <c r="EE69" s="148">
        <f t="shared" si="4"/>
        <v>3</v>
      </c>
      <c r="EF69" s="34">
        <f>MAX(EE69,EG69)</f>
        <v>3</v>
      </c>
      <c r="EG69" s="153">
        <v>2</v>
      </c>
      <c r="EH69" s="160">
        <f t="shared" si="5"/>
        <v>2</v>
      </c>
      <c r="EI69" s="34">
        <f>MAX(EH69,EJ69)</f>
        <v>2</v>
      </c>
      <c r="EJ69" s="160">
        <v>2</v>
      </c>
      <c r="EK69" s="148">
        <f t="shared" si="6"/>
        <v>3</v>
      </c>
      <c r="EL69" s="34">
        <f>MAX(EK69,EM69)</f>
        <v>3</v>
      </c>
      <c r="EM69" s="153">
        <v>2</v>
      </c>
      <c r="EN69" s="160">
        <f t="shared" si="7"/>
        <v>2</v>
      </c>
      <c r="EO69" s="34">
        <f>MAX(EN69,EP69)</f>
        <v>2</v>
      </c>
      <c r="EP69" s="160">
        <v>2</v>
      </c>
      <c r="EQ69" s="53" t="s">
        <v>323</v>
      </c>
      <c r="ER69" s="143">
        <f>$H$14</f>
        <v>8</v>
      </c>
      <c r="ES69" s="54" t="s">
        <v>41</v>
      </c>
      <c r="ET69" s="55">
        <f>DT69</f>
        <v>80</v>
      </c>
      <c r="EU69" s="55"/>
      <c r="EV69" s="499"/>
    </row>
    <row r="70" spans="1:152" x14ac:dyDescent="0.25">
      <c r="A70" s="138"/>
      <c r="G70" s="184" t="s">
        <v>300</v>
      </c>
      <c r="H70" s="184" t="s">
        <v>419</v>
      </c>
      <c r="L70" s="453">
        <v>6</v>
      </c>
      <c r="M70" s="80" t="s">
        <v>217</v>
      </c>
      <c r="N70" s="99"/>
      <c r="O70" s="56"/>
      <c r="P70" s="57"/>
      <c r="Q70" s="58"/>
      <c r="R70" s="59"/>
      <c r="S70" s="58"/>
      <c r="T70" s="57"/>
      <c r="U70" s="58"/>
      <c r="V70" s="59"/>
      <c r="W70" s="71"/>
      <c r="Z70" s="453">
        <v>6</v>
      </c>
      <c r="AA70" s="80" t="s">
        <v>217</v>
      </c>
      <c r="AB70" s="99"/>
      <c r="AC70" s="30"/>
      <c r="AD70" s="31"/>
      <c r="AE70" s="34"/>
      <c r="AF70" s="31"/>
      <c r="AG70" s="34"/>
      <c r="AH70" s="31"/>
      <c r="AI70" s="34"/>
      <c r="AJ70" s="31"/>
      <c r="AK70" s="34"/>
      <c r="AL70" s="31"/>
      <c r="AM70" s="36"/>
      <c r="AN70" s="31"/>
      <c r="AO70" s="34"/>
      <c r="AP70" s="31"/>
      <c r="AQ70" s="34"/>
      <c r="AR70" s="31"/>
      <c r="AS70" s="36"/>
      <c r="AT70" s="151"/>
      <c r="AU70" s="34"/>
      <c r="AV70" s="156"/>
      <c r="AW70" s="36"/>
      <c r="AX70" s="40"/>
      <c r="AY70" s="36"/>
      <c r="AZ70" s="40"/>
      <c r="BA70" s="34"/>
      <c r="BB70" s="31"/>
      <c r="BC70" s="160"/>
      <c r="BD70" s="34"/>
      <c r="BE70" s="156"/>
      <c r="BF70" s="31"/>
      <c r="BG70" s="36"/>
      <c r="BH70" s="31"/>
      <c r="BI70" s="41"/>
      <c r="BK70" s="453">
        <v>6</v>
      </c>
      <c r="BL70" s="80" t="s">
        <v>217</v>
      </c>
      <c r="BM70" s="99"/>
      <c r="BN70" s="57"/>
      <c r="BO70" s="3"/>
      <c r="BP70" s="57"/>
      <c r="BQ70" s="3"/>
      <c r="BR70" s="57"/>
      <c r="BS70" s="3"/>
      <c r="BT70" s="57"/>
      <c r="BU70" s="3"/>
      <c r="BV70" s="57"/>
      <c r="BW70" s="3"/>
      <c r="BX70" s="63"/>
      <c r="BY70" s="3"/>
      <c r="BZ70" s="57"/>
      <c r="CA70" s="3"/>
      <c r="CB70" s="57"/>
      <c r="CC70" s="3"/>
      <c r="CD70" s="63"/>
      <c r="CE70" s="166"/>
      <c r="CF70" s="34"/>
      <c r="CG70" s="156"/>
      <c r="CH70" s="63"/>
      <c r="CI70" s="64"/>
      <c r="CJ70" s="63"/>
      <c r="CK70" s="64"/>
      <c r="CL70" s="57"/>
      <c r="CM70" s="3"/>
      <c r="CN70" s="148"/>
      <c r="CO70" s="34"/>
      <c r="CP70" s="168"/>
      <c r="CQ70" s="3"/>
      <c r="CR70" s="63"/>
      <c r="CS70" s="3"/>
      <c r="CT70" s="63"/>
      <c r="CV70" s="453">
        <v>6</v>
      </c>
      <c r="CW70" s="80" t="s">
        <v>217</v>
      </c>
      <c r="CX70" s="99"/>
      <c r="CY70" s="31"/>
      <c r="CZ70" s="34"/>
      <c r="DA70" s="31"/>
      <c r="DB70" s="34"/>
      <c r="DC70" s="31"/>
      <c r="DD70" s="34"/>
      <c r="DE70" s="31"/>
      <c r="DF70" s="36"/>
      <c r="DG70" s="31"/>
      <c r="DH70" s="34"/>
      <c r="DI70" s="31"/>
      <c r="DJ70" s="34"/>
      <c r="DK70" s="31"/>
      <c r="DL70" s="34"/>
      <c r="DM70" s="40"/>
      <c r="DN70" s="34"/>
      <c r="DO70" s="31"/>
      <c r="DP70" s="34"/>
      <c r="DQ70" s="75"/>
      <c r="DR70" s="115"/>
      <c r="DS70" s="131"/>
      <c r="DT70" s="77"/>
      <c r="DW70" s="453">
        <v>6</v>
      </c>
      <c r="DX70" s="80" t="s">
        <v>217</v>
      </c>
      <c r="DY70" s="99"/>
      <c r="DZ70" s="56"/>
      <c r="EA70" s="57"/>
      <c r="EB70" s="3"/>
      <c r="EC70" s="57"/>
      <c r="ED70" s="3"/>
      <c r="EE70" s="149">
        <f t="shared" si="4"/>
        <v>0</v>
      </c>
      <c r="EF70" s="21"/>
      <c r="EG70" s="168"/>
      <c r="EH70" s="162">
        <f t="shared" si="5"/>
        <v>0</v>
      </c>
      <c r="EI70" s="21"/>
      <c r="EJ70" s="162"/>
      <c r="EK70" s="149">
        <f t="shared" si="6"/>
        <v>0</v>
      </c>
      <c r="EL70" s="21"/>
      <c r="EM70" s="168"/>
      <c r="EN70" s="162">
        <f t="shared" si="7"/>
        <v>0</v>
      </c>
      <c r="EO70" s="21"/>
      <c r="EP70" s="154"/>
      <c r="EQ70" s="75"/>
      <c r="ER70" s="115"/>
      <c r="ES70" s="131"/>
      <c r="ET70" s="77"/>
      <c r="EU70" s="77"/>
      <c r="EV70" s="499" t="s">
        <v>510</v>
      </c>
    </row>
    <row r="71" spans="1:152" x14ac:dyDescent="0.25">
      <c r="A71" s="138" t="s">
        <v>425</v>
      </c>
      <c r="B71" s="138"/>
      <c r="C71" s="138"/>
      <c r="G71" s="2" t="s">
        <v>308</v>
      </c>
      <c r="H71" s="2" t="s">
        <v>276</v>
      </c>
      <c r="I71" s="270" t="s">
        <v>128</v>
      </c>
      <c r="L71" s="455"/>
      <c r="M71" s="44" t="s">
        <v>194</v>
      </c>
      <c r="N71" s="106">
        <v>3.5</v>
      </c>
      <c r="O71" s="25">
        <f>'QE &amp; MOMEN'!S60*1000</f>
        <v>300</v>
      </c>
      <c r="P71" s="26">
        <f>'QE &amp; MOMEN'!V60*1000</f>
        <v>200</v>
      </c>
      <c r="Q71" s="27">
        <f>'QE &amp; MOMEN'!AA60</f>
        <v>22.534458333333337</v>
      </c>
      <c r="R71" s="24">
        <f>'QE &amp; MOMEN'!AA60</f>
        <v>22.534458333333337</v>
      </c>
      <c r="S71" s="27">
        <f>'QE &amp; MOMEN'!AB60</f>
        <v>38.630500000000005</v>
      </c>
      <c r="T71" s="26">
        <f>$H$4</f>
        <v>0.85</v>
      </c>
      <c r="U71" s="27">
        <f>T71*0.85*$H$7/$H$8*600/(600+$H$8)</f>
        <v>2.7093749999999993E-2</v>
      </c>
      <c r="V71" s="24">
        <f>0.75*U71*$H$8*(1-(0.5*0.75*U71*$H$8/(0.85*$H$7)))</f>
        <v>6.5736210937499981</v>
      </c>
      <c r="W71" s="43">
        <f>$H$27</f>
        <v>0.8</v>
      </c>
      <c r="Z71" s="455"/>
      <c r="AA71" s="44" t="s">
        <v>194</v>
      </c>
      <c r="AB71" s="106">
        <v>3.5</v>
      </c>
      <c r="AC71" s="30">
        <f>O71</f>
        <v>300</v>
      </c>
      <c r="AD71" s="31">
        <f>P71</f>
        <v>200</v>
      </c>
      <c r="AE71" s="32">
        <f>Q71</f>
        <v>22.534458333333337</v>
      </c>
      <c r="AF71" s="33">
        <f>AE71/W71</f>
        <v>28.16807291666667</v>
      </c>
      <c r="AG71" s="34">
        <v>50</v>
      </c>
      <c r="AH71" s="31">
        <f>AC71-AG71</f>
        <v>250</v>
      </c>
      <c r="AI71" s="35">
        <f>AF71*10^6/(AD71*AH71^2)</f>
        <v>2.2534458333333336</v>
      </c>
      <c r="AJ71" s="31">
        <f>$H$13</f>
        <v>13</v>
      </c>
      <c r="AK71" s="34">
        <f>$H$14</f>
        <v>8</v>
      </c>
      <c r="AL71" s="31">
        <f>$H$15</f>
        <v>25</v>
      </c>
      <c r="AM71" s="36" t="str">
        <f>IF(AI71&lt;=V71,"OK","NG")</f>
        <v>OK</v>
      </c>
      <c r="AN71" s="37">
        <f>0.85*($H$7/$H$8)*(1-(SQRT(1-2*AI71/(0.85*$H$7))))</f>
        <v>5.9689391432995783E-3</v>
      </c>
      <c r="AO71" s="38">
        <f>1.4/$H$8</f>
        <v>3.4999999999999996E-3</v>
      </c>
      <c r="AP71" s="37">
        <f>0.5*U71</f>
        <v>1.3546874999999996E-2</v>
      </c>
      <c r="AQ71" s="38">
        <f>MAX(AN71:AO71)</f>
        <v>5.9689391432995783E-3</v>
      </c>
      <c r="AR71" s="33">
        <f>AQ71*AD71*AH71</f>
        <v>298.44695716497893</v>
      </c>
      <c r="AS71" s="35">
        <f>AR71/((22/7)/4*AJ71^2)</f>
        <v>2.2475833245345376</v>
      </c>
      <c r="AT71" s="148">
        <f>ROUNDUP(AS71,0)</f>
        <v>3</v>
      </c>
      <c r="AU71" s="49">
        <f>MAX(AT71,AV71)</f>
        <v>3</v>
      </c>
      <c r="AV71" s="153">
        <v>2</v>
      </c>
      <c r="AW71" s="35">
        <f>AU71*(22/7)/4*AJ71^2</f>
        <v>398.35714285714289</v>
      </c>
      <c r="AX71" s="40" t="str">
        <f>IF(AR71&lt;=AW71,"OK","NG")</f>
        <v>OK</v>
      </c>
      <c r="AY71" s="34">
        <f>(AD71-(2*AL71+2*AK71+AU71*AJ71))/(AU71-1)</f>
        <v>47.5</v>
      </c>
      <c r="AZ71" s="40" t="str">
        <f>IF(AY71&gt;= 25,"OK","NG")</f>
        <v>OK</v>
      </c>
      <c r="BA71" s="34">
        <f>AR71/2</f>
        <v>149.22347858248946</v>
      </c>
      <c r="BB71" s="33">
        <f>BA71/((22/7)/4*AJ71^2)</f>
        <v>1.1237916622672688</v>
      </c>
      <c r="BC71" s="160">
        <f>ROUNDUP(BB71,0)</f>
        <v>2</v>
      </c>
      <c r="BD71" s="49">
        <f>MAX(BC71,BE71)</f>
        <v>2</v>
      </c>
      <c r="BE71" s="153">
        <v>2</v>
      </c>
      <c r="BF71" s="33">
        <f>BD71*(22/7)/4*AJ71^2</f>
        <v>265.57142857142856</v>
      </c>
      <c r="BG71" s="36" t="str">
        <f>IF(BA71&lt;=BF71,"OK","NG")</f>
        <v>OK</v>
      </c>
      <c r="BH71" s="31">
        <f>(AD71-(2*AL71+2*AK71+BD71*AJ71))/(BD71-1)</f>
        <v>108</v>
      </c>
      <c r="BI71" s="41" t="str">
        <f>IF(BH71&gt;= 25,"OK","NG")</f>
        <v>OK</v>
      </c>
      <c r="BK71" s="455"/>
      <c r="BL71" s="44" t="s">
        <v>194</v>
      </c>
      <c r="BM71" s="106">
        <v>3.5</v>
      </c>
      <c r="BN71" s="57">
        <f>O71</f>
        <v>300</v>
      </c>
      <c r="BO71" s="3">
        <f>P71</f>
        <v>200</v>
      </c>
      <c r="BP71" s="59">
        <f>R71</f>
        <v>22.534458333333337</v>
      </c>
      <c r="BQ71" s="60">
        <f>BP71/W71</f>
        <v>28.16807291666667</v>
      </c>
      <c r="BR71" s="57">
        <v>50</v>
      </c>
      <c r="BS71" s="3">
        <f>BN71-BR71</f>
        <v>250</v>
      </c>
      <c r="BT71" s="71">
        <f>BQ71*10^6/(BO71*BS71^2)</f>
        <v>2.2534458333333336</v>
      </c>
      <c r="BU71" s="3">
        <f>$H$13</f>
        <v>13</v>
      </c>
      <c r="BV71" s="57">
        <f>$H$14</f>
        <v>8</v>
      </c>
      <c r="BW71" s="3">
        <f>$H$15</f>
        <v>25</v>
      </c>
      <c r="BX71" s="63" t="str">
        <f>IF(BT71&lt;=V71,"OK","NG")</f>
        <v>OK</v>
      </c>
      <c r="BY71" s="72">
        <f>0.85*($H$7/$H$8)*(1-(SQRT(1-2*BT71/(0.85*$H$7))))</f>
        <v>5.9689391432995783E-3</v>
      </c>
      <c r="BZ71" s="73">
        <f>1.4/$H$8</f>
        <v>3.4999999999999996E-3</v>
      </c>
      <c r="CA71" s="72">
        <f>0.5*U71</f>
        <v>1.3546874999999996E-2</v>
      </c>
      <c r="CB71" s="73">
        <f>MAX(BY71:BZ71)</f>
        <v>5.9689391432995783E-3</v>
      </c>
      <c r="CC71" s="60">
        <f>CB71*BO71*BS71</f>
        <v>298.44695716497893</v>
      </c>
      <c r="CD71" s="71">
        <f>CC71/((22/7)/4*BU71^2)</f>
        <v>2.2475833245345376</v>
      </c>
      <c r="CE71" s="160">
        <f>ROUNDUP(CD71,0)</f>
        <v>3</v>
      </c>
      <c r="CF71" s="49">
        <f>MAX(CE71,CG71)</f>
        <v>3</v>
      </c>
      <c r="CG71" s="153">
        <v>2</v>
      </c>
      <c r="CH71" s="43">
        <f>CF71*(22/7)/4*BU71^2</f>
        <v>398.35714285714289</v>
      </c>
      <c r="CI71" s="47" t="str">
        <f>IF(CC71&lt;=CH71,"OK","NG")</f>
        <v>OK</v>
      </c>
      <c r="CJ71" s="26">
        <f>(BO71-(2*BW71+2*BV71+CF71*BU71))/(CF71-1)</f>
        <v>47.5</v>
      </c>
      <c r="CK71" s="47" t="str">
        <f>IF(CJ71&gt;= 25,"OK","NG")</f>
        <v>OK</v>
      </c>
      <c r="CL71" s="26">
        <f>CC71/2</f>
        <v>149.22347858248946</v>
      </c>
      <c r="CM71" s="28">
        <f>CL71/((22/7)/4*BU71^2)</f>
        <v>1.1237916622672688</v>
      </c>
      <c r="CN71" s="150">
        <f>ROUNDUP(CM71,0)</f>
        <v>2</v>
      </c>
      <c r="CO71" s="49">
        <f>MAX(CN71,CP71)</f>
        <v>2</v>
      </c>
      <c r="CP71" s="153">
        <v>2</v>
      </c>
      <c r="CQ71" s="28">
        <f>CO71*(22/7)/4*BU71^2</f>
        <v>265.57142857142856</v>
      </c>
      <c r="CR71" s="44" t="str">
        <f>IF(CL71&lt;=CQ71,"OK","NG")</f>
        <v>OK</v>
      </c>
      <c r="CS71" s="42">
        <f>(BO71-(2*BW71+2*BV71+CO71*BU71))/(CO71-1)</f>
        <v>108</v>
      </c>
      <c r="CT71" s="63" t="str">
        <f>IF(CS71&gt;= 25,"OK","NG")</f>
        <v>OK</v>
      </c>
      <c r="CV71" s="455"/>
      <c r="CW71" s="44" t="s">
        <v>194</v>
      </c>
      <c r="CX71" s="106">
        <v>3.5</v>
      </c>
      <c r="CY71" s="31">
        <f>O71</f>
        <v>300</v>
      </c>
      <c r="CZ71" s="34">
        <f>P71</f>
        <v>200</v>
      </c>
      <c r="DA71" s="74">
        <f>S71</f>
        <v>38.630500000000005</v>
      </c>
      <c r="DB71" s="34">
        <v>0.6</v>
      </c>
      <c r="DC71" s="31">
        <f>$H$9</f>
        <v>240</v>
      </c>
      <c r="DD71" s="34">
        <f>1/6*SQRT($H$7)*CZ71*BS71*0.001</f>
        <v>41.666666666666664</v>
      </c>
      <c r="DE71" s="31">
        <f>DB71*DD71</f>
        <v>24.999999999999996</v>
      </c>
      <c r="DF71" s="36" t="str">
        <f>IF(DA71&lt;=DE71,"Tul. Gerser Praktis","Perlu Tul Geser")</f>
        <v>Perlu Tul Geser</v>
      </c>
      <c r="DG71" s="74">
        <f>DA71-DE71</f>
        <v>13.630500000000008</v>
      </c>
      <c r="DH71" s="34">
        <f>DG71/DB71</f>
        <v>22.717500000000015</v>
      </c>
      <c r="DI71" s="31">
        <v>1</v>
      </c>
      <c r="DJ71" s="34">
        <f>$AK$11</f>
        <v>8</v>
      </c>
      <c r="DK71" s="31">
        <f>DI71*((22/7)/4)*DJ71^2</f>
        <v>50.285714285714285</v>
      </c>
      <c r="DL71" s="34">
        <f>DK71*DC69*BS71/(DH71*10^3)</f>
        <v>132.81139461396961</v>
      </c>
      <c r="DM71" s="40" t="str">
        <f>IF(DH71&lt;(1/3*SQRT($H$7)*CZ71*BS71),"1/2 D - 600","1/4D - 300")</f>
        <v>1/2 D - 600</v>
      </c>
      <c r="DN71" s="34">
        <f>1/2*AH71</f>
        <v>125</v>
      </c>
      <c r="DO71" s="31">
        <v>600</v>
      </c>
      <c r="DP71" s="34">
        <f>MIN(DL71,DN71,DO71)</f>
        <v>125</v>
      </c>
      <c r="DQ71" s="75" t="s">
        <v>323</v>
      </c>
      <c r="DR71" s="115">
        <f>$H$14</f>
        <v>8</v>
      </c>
      <c r="DS71" s="76" t="s">
        <v>41</v>
      </c>
      <c r="DT71" s="77">
        <f>DP71</f>
        <v>125</v>
      </c>
      <c r="DW71" s="455"/>
      <c r="DX71" s="44" t="s">
        <v>194</v>
      </c>
      <c r="DY71" s="106">
        <v>3.5</v>
      </c>
      <c r="DZ71" s="25">
        <f>O71</f>
        <v>300</v>
      </c>
      <c r="EA71" s="26">
        <f>P71</f>
        <v>200</v>
      </c>
      <c r="EB71" s="3">
        <f>$H$13</f>
        <v>13</v>
      </c>
      <c r="EC71" s="57">
        <f>$H$14</f>
        <v>8</v>
      </c>
      <c r="ED71" s="3">
        <f>$H$15</f>
        <v>25</v>
      </c>
      <c r="EE71" s="150">
        <f t="shared" si="4"/>
        <v>3</v>
      </c>
      <c r="EF71" s="49">
        <f>MAX(EE71,EG71)</f>
        <v>3</v>
      </c>
      <c r="EG71" s="155">
        <v>2</v>
      </c>
      <c r="EH71" s="163">
        <f t="shared" si="5"/>
        <v>2</v>
      </c>
      <c r="EI71" s="49">
        <f>MAX(EH71,EJ71)</f>
        <v>2</v>
      </c>
      <c r="EJ71" s="163">
        <v>2</v>
      </c>
      <c r="EK71" s="150">
        <f t="shared" si="6"/>
        <v>3</v>
      </c>
      <c r="EL71" s="49">
        <f>MAX(EK71,EM71)</f>
        <v>3</v>
      </c>
      <c r="EM71" s="155">
        <v>2</v>
      </c>
      <c r="EN71" s="163">
        <f t="shared" si="7"/>
        <v>2</v>
      </c>
      <c r="EO71" s="49">
        <f>MAX(EN71,EP71)</f>
        <v>2</v>
      </c>
      <c r="EP71" s="155">
        <v>2</v>
      </c>
      <c r="EQ71" s="75" t="s">
        <v>323</v>
      </c>
      <c r="ER71" s="115">
        <f>$H$14</f>
        <v>8</v>
      </c>
      <c r="ES71" s="76" t="s">
        <v>41</v>
      </c>
      <c r="ET71" s="55">
        <f>DT71</f>
        <v>125</v>
      </c>
      <c r="EU71" s="55"/>
      <c r="EV71" s="499"/>
    </row>
    <row r="72" spans="1:152" x14ac:dyDescent="0.25">
      <c r="A72" s="138" t="s">
        <v>426</v>
      </c>
      <c r="B72" s="138"/>
      <c r="C72" s="138"/>
      <c r="G72" s="2" t="s">
        <v>311</v>
      </c>
      <c r="H72" s="2" t="s">
        <v>447</v>
      </c>
      <c r="I72" s="112" t="s">
        <v>491</v>
      </c>
      <c r="L72" s="453">
        <v>7</v>
      </c>
      <c r="M72" s="80" t="s">
        <v>214</v>
      </c>
      <c r="N72" s="99"/>
      <c r="O72" s="56"/>
      <c r="P72" s="57"/>
      <c r="Q72" s="58"/>
      <c r="R72" s="59"/>
      <c r="S72" s="58"/>
      <c r="T72" s="57"/>
      <c r="U72" s="58"/>
      <c r="V72" s="59"/>
      <c r="W72" s="71"/>
      <c r="Z72" s="453">
        <v>7</v>
      </c>
      <c r="AA72" s="80" t="s">
        <v>214</v>
      </c>
      <c r="AB72" s="99"/>
      <c r="AC72" s="61"/>
      <c r="AD72" s="20"/>
      <c r="AE72" s="21"/>
      <c r="AF72" s="20"/>
      <c r="AG72" s="21"/>
      <c r="AH72" s="20"/>
      <c r="AI72" s="21"/>
      <c r="AJ72" s="20"/>
      <c r="AK72" s="21"/>
      <c r="AL72" s="20"/>
      <c r="AM72" s="22"/>
      <c r="AN72" s="20"/>
      <c r="AO72" s="21"/>
      <c r="AP72" s="20"/>
      <c r="AQ72" s="21"/>
      <c r="AR72" s="20"/>
      <c r="AS72" s="21"/>
      <c r="AT72" s="149"/>
      <c r="AU72" s="34"/>
      <c r="AV72" s="154"/>
      <c r="AW72" s="21"/>
      <c r="AX72" s="18"/>
      <c r="AY72" s="21"/>
      <c r="AZ72" s="18"/>
      <c r="BA72" s="21"/>
      <c r="BB72" s="20"/>
      <c r="BC72" s="162"/>
      <c r="BD72" s="34"/>
      <c r="BE72" s="154"/>
      <c r="BF72" s="20"/>
      <c r="BG72" s="22"/>
      <c r="BH72" s="20"/>
      <c r="BI72" s="62"/>
      <c r="BK72" s="453">
        <v>7</v>
      </c>
      <c r="BL72" s="80" t="s">
        <v>214</v>
      </c>
      <c r="BM72" s="99"/>
      <c r="BN72" s="84"/>
      <c r="BO72" s="85"/>
      <c r="BP72" s="84"/>
      <c r="BQ72" s="85"/>
      <c r="BR72" s="84"/>
      <c r="BS72" s="85"/>
      <c r="BT72" s="84"/>
      <c r="BU72" s="85"/>
      <c r="BV72" s="84"/>
      <c r="BW72" s="85"/>
      <c r="BX72" s="86"/>
      <c r="BY72" s="85"/>
      <c r="BZ72" s="84"/>
      <c r="CA72" s="85"/>
      <c r="CB72" s="84"/>
      <c r="CC72" s="85"/>
      <c r="CD72" s="84"/>
      <c r="CE72" s="162"/>
      <c r="CF72" s="34"/>
      <c r="CG72" s="154"/>
      <c r="CH72" s="84"/>
      <c r="CI72" s="87"/>
      <c r="CJ72" s="84"/>
      <c r="CK72" s="87"/>
      <c r="CL72" s="84"/>
      <c r="CM72" s="85"/>
      <c r="CN72" s="149"/>
      <c r="CO72" s="34"/>
      <c r="CP72" s="154"/>
      <c r="CQ72" s="85"/>
      <c r="CR72" s="86"/>
      <c r="CS72" s="85"/>
      <c r="CT72" s="86"/>
      <c r="CV72" s="453">
        <v>7</v>
      </c>
      <c r="CW72" s="80" t="s">
        <v>214</v>
      </c>
      <c r="CX72" s="99"/>
      <c r="CY72" s="20"/>
      <c r="CZ72" s="21"/>
      <c r="DA72" s="20"/>
      <c r="DB72" s="21"/>
      <c r="DC72" s="20"/>
      <c r="DD72" s="21"/>
      <c r="DE72" s="20"/>
      <c r="DF72" s="22"/>
      <c r="DG72" s="20"/>
      <c r="DH72" s="21"/>
      <c r="DI72" s="20"/>
      <c r="DJ72" s="21"/>
      <c r="DK72" s="20"/>
      <c r="DL72" s="21"/>
      <c r="DM72" s="18"/>
      <c r="DN72" s="21"/>
      <c r="DO72" s="20"/>
      <c r="DP72" s="21"/>
      <c r="DQ72" s="132"/>
      <c r="DR72" s="141"/>
      <c r="DS72" s="102"/>
      <c r="DT72" s="133"/>
      <c r="DW72" s="453">
        <v>7</v>
      </c>
      <c r="DX72" s="80" t="s">
        <v>214</v>
      </c>
      <c r="DY72" s="99"/>
      <c r="DZ72" s="56"/>
      <c r="EA72" s="57"/>
      <c r="EB72" s="85"/>
      <c r="EC72" s="84"/>
      <c r="ED72" s="85"/>
      <c r="EE72" s="148">
        <f t="shared" si="4"/>
        <v>0</v>
      </c>
      <c r="EF72" s="34"/>
      <c r="EG72" s="153"/>
      <c r="EH72" s="160">
        <f t="shared" si="5"/>
        <v>0</v>
      </c>
      <c r="EI72" s="34"/>
      <c r="EJ72" s="160"/>
      <c r="EK72" s="148">
        <f t="shared" si="6"/>
        <v>0</v>
      </c>
      <c r="EL72" s="34"/>
      <c r="EM72" s="153"/>
      <c r="EN72" s="160">
        <f t="shared" si="7"/>
        <v>0</v>
      </c>
      <c r="EO72" s="34"/>
      <c r="EP72" s="160"/>
      <c r="EQ72" s="132"/>
      <c r="ER72" s="141"/>
      <c r="ES72" s="102"/>
      <c r="ET72" s="133"/>
      <c r="EU72" s="133"/>
      <c r="EV72" s="499" t="s">
        <v>505</v>
      </c>
    </row>
    <row r="73" spans="1:152" x14ac:dyDescent="0.25">
      <c r="A73" s="138" t="s">
        <v>427</v>
      </c>
      <c r="B73" s="138"/>
      <c r="C73" s="138"/>
      <c r="G73" s="2" t="s">
        <v>311</v>
      </c>
      <c r="H73" s="2" t="s">
        <v>123</v>
      </c>
      <c r="I73" s="112" t="s">
        <v>491</v>
      </c>
      <c r="L73" s="454"/>
      <c r="M73" s="44" t="s">
        <v>194</v>
      </c>
      <c r="N73" s="106">
        <v>3</v>
      </c>
      <c r="O73" s="25">
        <f>'QE &amp; MOMEN'!S62*1000</f>
        <v>300</v>
      </c>
      <c r="P73" s="26">
        <f>'QE &amp; MOMEN'!V62*1000</f>
        <v>200</v>
      </c>
      <c r="Q73" s="27">
        <f>'QE &amp; MOMEN'!BC52</f>
        <v>8.2963956779648349</v>
      </c>
      <c r="R73" s="24">
        <f>'QE &amp; MOMEN'!BA52</f>
        <v>19.045745866845706</v>
      </c>
      <c r="S73" s="27">
        <f>'QE &amp; MOMEN'!BE52</f>
        <v>29.374041897890624</v>
      </c>
      <c r="T73" s="26">
        <f>$H$4</f>
        <v>0.85</v>
      </c>
      <c r="U73" s="27">
        <f>T73*0.85*$H$7/$H$8*600/(600+$H$8)</f>
        <v>2.7093749999999993E-2</v>
      </c>
      <c r="V73" s="24">
        <f>0.75*U73*$H$8*(1-(0.5*0.75*U73*$H$8/(0.85*$H$7)))</f>
        <v>6.5736210937499981</v>
      </c>
      <c r="W73" s="43">
        <f>$H$27</f>
        <v>0.8</v>
      </c>
      <c r="Z73" s="454"/>
      <c r="AA73" s="44" t="s">
        <v>194</v>
      </c>
      <c r="AB73" s="106">
        <v>3</v>
      </c>
      <c r="AC73" s="65">
        <f>O73</f>
        <v>300</v>
      </c>
      <c r="AD73" s="48">
        <f>P73</f>
        <v>200</v>
      </c>
      <c r="AE73" s="66">
        <f>Q73</f>
        <v>8.2963956779648349</v>
      </c>
      <c r="AF73" s="67">
        <f>AE73/W73</f>
        <v>10.370494597456043</v>
      </c>
      <c r="AG73" s="49">
        <v>50</v>
      </c>
      <c r="AH73" s="48">
        <f>AC73-AG73</f>
        <v>250</v>
      </c>
      <c r="AI73" s="39">
        <f>AF73*1000000/(AD73*AH73^2)</f>
        <v>0.82963956779648351</v>
      </c>
      <c r="AJ73" s="48">
        <f>$H$13</f>
        <v>13</v>
      </c>
      <c r="AK73" s="49">
        <f>$H$14</f>
        <v>8</v>
      </c>
      <c r="AL73" s="48">
        <f>$H$15</f>
        <v>25</v>
      </c>
      <c r="AM73" s="51" t="str">
        <f>IF(AI73&lt;=V73,"OK","NG")</f>
        <v>OK</v>
      </c>
      <c r="AN73" s="68">
        <f>0.85*($H$7/$H$8)*(1-(SQRT(1-2*AI73/(0.85*$H$7))))</f>
        <v>2.1162496251470693E-3</v>
      </c>
      <c r="AO73" s="69">
        <f>1.4/$H$8</f>
        <v>3.4999999999999996E-3</v>
      </c>
      <c r="AP73" s="68">
        <f>0.5*U73</f>
        <v>1.3546874999999996E-2</v>
      </c>
      <c r="AQ73" s="69">
        <f>MAX(AN73:AO73)</f>
        <v>3.4999999999999996E-3</v>
      </c>
      <c r="AR73" s="67">
        <f>AQ73*AD73*AH73</f>
        <v>175</v>
      </c>
      <c r="AS73" s="39">
        <f>AR73/((22/7)/4*AJ73^2)</f>
        <v>1.3179128563743949</v>
      </c>
      <c r="AT73" s="150">
        <f>ROUNDUP(AS73,0)</f>
        <v>2</v>
      </c>
      <c r="AU73" s="49">
        <f>MAX(AT73,AV73)</f>
        <v>2</v>
      </c>
      <c r="AV73" s="155">
        <v>2</v>
      </c>
      <c r="AW73" s="164">
        <f>AU73*(22/7)/4*AJ73^2</f>
        <v>265.57142857142856</v>
      </c>
      <c r="AX73" s="52" t="str">
        <f>IF(AR73&lt;=AW73,"OK","NG")</f>
        <v>OK</v>
      </c>
      <c r="AY73" s="49">
        <f>(AD73-(2*AL73+2*AK73+AU73*AJ73))/(AU73-1)</f>
        <v>108</v>
      </c>
      <c r="AZ73" s="52" t="str">
        <f>IF(AY73&gt;= 25,"OK","NG")</f>
        <v>OK</v>
      </c>
      <c r="BA73" s="49">
        <f>AR73/2</f>
        <v>87.5</v>
      </c>
      <c r="BB73" s="67">
        <f>BA73/((22/7)/4*AJ73^2)</f>
        <v>0.65895642818719746</v>
      </c>
      <c r="BC73" s="163">
        <f>ROUNDUP(BB73,0)</f>
        <v>1</v>
      </c>
      <c r="BD73" s="49">
        <f>MAX(BC73,BE73)</f>
        <v>2</v>
      </c>
      <c r="BE73" s="155">
        <v>2</v>
      </c>
      <c r="BF73" s="67">
        <f>BD73*(22/7)/4*AJ73^2</f>
        <v>265.57142857142856</v>
      </c>
      <c r="BG73" s="51" t="str">
        <f>IF(BA73&lt;=BF73,"OK","NG")</f>
        <v>OK</v>
      </c>
      <c r="BH73" s="48">
        <f>(AD73-(2*AL73+2*AK73+BD73*AJ73))/(BD73-1)</f>
        <v>108</v>
      </c>
      <c r="BI73" s="70" t="str">
        <f>IF(BH73&gt;= 25,"OK","NG")</f>
        <v>OK</v>
      </c>
      <c r="BK73" s="454"/>
      <c r="BL73" s="44" t="s">
        <v>194</v>
      </c>
      <c r="BM73" s="106">
        <v>3</v>
      </c>
      <c r="BN73" s="26">
        <f>O73</f>
        <v>300</v>
      </c>
      <c r="BO73" s="42">
        <f>P73</f>
        <v>200</v>
      </c>
      <c r="BP73" s="24">
        <f>R73</f>
        <v>19.045745866845706</v>
      </c>
      <c r="BQ73" s="28">
        <f>BP73/W73</f>
        <v>23.807182333557133</v>
      </c>
      <c r="BR73" s="26">
        <v>50</v>
      </c>
      <c r="BS73" s="42">
        <f>BN73-BR73</f>
        <v>250</v>
      </c>
      <c r="BT73" s="43">
        <f>BQ73*10^6/(BO73*BS73^2)</f>
        <v>1.9045745866845707</v>
      </c>
      <c r="BU73" s="42">
        <f>$H$13</f>
        <v>13</v>
      </c>
      <c r="BV73" s="26">
        <f>$H$14</f>
        <v>8</v>
      </c>
      <c r="BW73" s="42">
        <f>$H$15</f>
        <v>25</v>
      </c>
      <c r="BX73" s="44" t="str">
        <f>IF(BT73&lt;=V73,"OK","NG")</f>
        <v>OK</v>
      </c>
      <c r="BY73" s="45">
        <f>0.85*($H$7/$H$8)*(1-(SQRT(1-2*BT73/(0.85*$H$7))))</f>
        <v>4.9963910401317436E-3</v>
      </c>
      <c r="BZ73" s="46">
        <f>1.4/$H$8</f>
        <v>3.4999999999999996E-3</v>
      </c>
      <c r="CA73" s="45">
        <f>0.5*U73</f>
        <v>1.3546874999999996E-2</v>
      </c>
      <c r="CB73" s="46">
        <f>MAX(BY73:BZ73)</f>
        <v>4.9963910401317436E-3</v>
      </c>
      <c r="CC73" s="28">
        <f>CB73*BO73*BS73</f>
        <v>249.81955200658717</v>
      </c>
      <c r="CD73" s="43">
        <f>CC73/((22/7)/4*BU73^2)</f>
        <v>1.8813737106467028</v>
      </c>
      <c r="CE73" s="163">
        <f>ROUNDUP(CD73,0)</f>
        <v>2</v>
      </c>
      <c r="CF73" s="49">
        <f>MAX(CE73,CG73)</f>
        <v>2</v>
      </c>
      <c r="CG73" s="155">
        <v>2</v>
      </c>
      <c r="CH73" s="43">
        <f>CF73*(22/7)/4*BU73^2</f>
        <v>265.57142857142856</v>
      </c>
      <c r="CI73" s="47" t="str">
        <f>IF(CC73&lt;=CH73,"OK","NG")</f>
        <v>OK</v>
      </c>
      <c r="CJ73" s="26">
        <f>(BO73-(2*BW73+2*BV73+CF73*BU73))/(CF73-1)</f>
        <v>108</v>
      </c>
      <c r="CK73" s="47" t="str">
        <f>IF(CJ73&gt;= 25,"OK","NG")</f>
        <v>OK</v>
      </c>
      <c r="CL73" s="26">
        <f>CC73/2</f>
        <v>124.90977600329359</v>
      </c>
      <c r="CM73" s="28">
        <f>CL73/((22/7)/4*BU73^2)</f>
        <v>0.94068685532335139</v>
      </c>
      <c r="CN73" s="150">
        <f>ROUNDUP(CM73,0)</f>
        <v>1</v>
      </c>
      <c r="CO73" s="49">
        <f>MAX(CN73,CP73)</f>
        <v>2</v>
      </c>
      <c r="CP73" s="155">
        <v>2</v>
      </c>
      <c r="CQ73" s="169">
        <f>CO73*(22/7)/4*BU73^2</f>
        <v>265.57142857142856</v>
      </c>
      <c r="CR73" s="44" t="str">
        <f>IF(CL73&lt;=CQ73,"OK","NG")</f>
        <v>OK</v>
      </c>
      <c r="CS73" s="42">
        <f>(BO73-(2*BW73+2*BV73+CO73*BU73))/(CO73-1)</f>
        <v>108</v>
      </c>
      <c r="CT73" s="44" t="str">
        <f>IF(CS73&gt;= 25,"OK","NG")</f>
        <v>OK</v>
      </c>
      <c r="CV73" s="454"/>
      <c r="CW73" s="44" t="s">
        <v>194</v>
      </c>
      <c r="CX73" s="106">
        <v>3</v>
      </c>
      <c r="CY73" s="48">
        <f>O73</f>
        <v>300</v>
      </c>
      <c r="CZ73" s="49">
        <f>P73</f>
        <v>200</v>
      </c>
      <c r="DA73" s="50">
        <f>S73</f>
        <v>29.374041897890624</v>
      </c>
      <c r="DB73" s="49">
        <v>0.6</v>
      </c>
      <c r="DC73" s="48">
        <f>$H$9</f>
        <v>240</v>
      </c>
      <c r="DD73" s="49">
        <f>1/6*SQRT($H$7)*CZ73*BS73*0.001</f>
        <v>41.666666666666664</v>
      </c>
      <c r="DE73" s="48">
        <f>DB73*DD73</f>
        <v>24.999999999999996</v>
      </c>
      <c r="DF73" s="51" t="str">
        <f>IF(DA73&lt;=DE73,"Tul. Gerser Praktis","Perlu Tul Geser")</f>
        <v>Perlu Tul Geser</v>
      </c>
      <c r="DG73" s="50">
        <f>DA73-DE73</f>
        <v>4.3740418978906277</v>
      </c>
      <c r="DH73" s="49">
        <f>DG73/DB73</f>
        <v>7.2900698298177131</v>
      </c>
      <c r="DI73" s="48">
        <v>1</v>
      </c>
      <c r="DJ73" s="49">
        <f>$AK$11</f>
        <v>8</v>
      </c>
      <c r="DK73" s="48">
        <f>DI73*((22/7)/4)*DJ73^2</f>
        <v>50.285714285714285</v>
      </c>
      <c r="DL73" s="49">
        <f>DK73*DC71*BS73/(DH73*10^3)</f>
        <v>413.8702272510742</v>
      </c>
      <c r="DM73" s="52" t="str">
        <f>IF(DH73&lt;(1/3*SQRT($H$7)*CZ73*BS73),"1/2 D - 600","1/4D - 300")</f>
        <v>1/2 D - 600</v>
      </c>
      <c r="DN73" s="49">
        <f>1/2*AH73</f>
        <v>125</v>
      </c>
      <c r="DO73" s="48">
        <v>600</v>
      </c>
      <c r="DP73" s="276">
        <f>MIN(DL73,DN73,DO73)</f>
        <v>125</v>
      </c>
      <c r="DQ73" s="53" t="s">
        <v>323</v>
      </c>
      <c r="DR73" s="143">
        <f>$H$14</f>
        <v>8</v>
      </c>
      <c r="DS73" s="54" t="s">
        <v>41</v>
      </c>
      <c r="DT73" s="55">
        <f>DP73</f>
        <v>125</v>
      </c>
      <c r="DW73" s="454"/>
      <c r="DX73" s="44" t="s">
        <v>194</v>
      </c>
      <c r="DY73" s="106">
        <v>3</v>
      </c>
      <c r="DZ73" s="25">
        <f>O73</f>
        <v>300</v>
      </c>
      <c r="EA73" s="26">
        <f>P73</f>
        <v>200</v>
      </c>
      <c r="EB73" s="42">
        <f>$H$13</f>
        <v>13</v>
      </c>
      <c r="EC73" s="26">
        <f>$H$14</f>
        <v>8</v>
      </c>
      <c r="ED73" s="42">
        <f>$H$15</f>
        <v>25</v>
      </c>
      <c r="EE73" s="148">
        <f t="shared" si="4"/>
        <v>2</v>
      </c>
      <c r="EF73" s="34">
        <f>MAX(EE73,EG73)</f>
        <v>2</v>
      </c>
      <c r="EG73" s="153">
        <v>2</v>
      </c>
      <c r="EH73" s="160">
        <f t="shared" si="5"/>
        <v>1</v>
      </c>
      <c r="EI73" s="34">
        <f>MAX(EH73,EJ73)</f>
        <v>2</v>
      </c>
      <c r="EJ73" s="160">
        <v>2</v>
      </c>
      <c r="EK73" s="148">
        <f t="shared" si="6"/>
        <v>2</v>
      </c>
      <c r="EL73" s="34">
        <f>MAX(EK73,EM73)</f>
        <v>2</v>
      </c>
      <c r="EM73" s="153">
        <v>2</v>
      </c>
      <c r="EN73" s="160">
        <f t="shared" si="7"/>
        <v>1</v>
      </c>
      <c r="EO73" s="34">
        <f>MAX(EN73,EP73)</f>
        <v>2</v>
      </c>
      <c r="EP73" s="160">
        <v>2</v>
      </c>
      <c r="EQ73" s="53" t="s">
        <v>323</v>
      </c>
      <c r="ER73" s="143">
        <f>$H$14</f>
        <v>8</v>
      </c>
      <c r="ES73" s="54" t="s">
        <v>41</v>
      </c>
      <c r="ET73" s="55">
        <f>DT73</f>
        <v>125</v>
      </c>
      <c r="EU73" s="55"/>
      <c r="EV73" s="499"/>
    </row>
    <row r="74" spans="1:152" x14ac:dyDescent="0.25">
      <c r="A74" s="138" t="s">
        <v>428</v>
      </c>
      <c r="B74" s="138"/>
      <c r="C74" s="138"/>
      <c r="G74" s="2" t="s">
        <v>309</v>
      </c>
      <c r="H74" s="2" t="s">
        <v>278</v>
      </c>
      <c r="I74" s="270" t="s">
        <v>128</v>
      </c>
      <c r="L74" s="454"/>
      <c r="M74" s="80" t="s">
        <v>217</v>
      </c>
      <c r="N74" s="99"/>
      <c r="O74" s="78"/>
      <c r="P74" s="15"/>
      <c r="Q74" s="82"/>
      <c r="R74" s="16"/>
      <c r="S74" s="82"/>
      <c r="T74" s="15"/>
      <c r="U74" s="82"/>
      <c r="V74" s="16"/>
      <c r="W74" s="107"/>
      <c r="Z74" s="454"/>
      <c r="AA74" s="80" t="s">
        <v>217</v>
      </c>
      <c r="AB74" s="99"/>
      <c r="AC74" s="30"/>
      <c r="AD74" s="31"/>
      <c r="AE74" s="34"/>
      <c r="AF74" s="31"/>
      <c r="AG74" s="34"/>
      <c r="AH74" s="31"/>
      <c r="AI74" s="34"/>
      <c r="AJ74" s="31"/>
      <c r="AK74" s="34"/>
      <c r="AL74" s="31"/>
      <c r="AM74" s="36"/>
      <c r="AN74" s="31"/>
      <c r="AO74" s="34"/>
      <c r="AP74" s="31"/>
      <c r="AQ74" s="34"/>
      <c r="AR74" s="31"/>
      <c r="AS74" s="34"/>
      <c r="AT74" s="148"/>
      <c r="AU74" s="34"/>
      <c r="AV74" s="153"/>
      <c r="AW74" s="34"/>
      <c r="AX74" s="40"/>
      <c r="AY74" s="34"/>
      <c r="AZ74" s="40"/>
      <c r="BA74" s="34"/>
      <c r="BB74" s="31"/>
      <c r="BC74" s="160"/>
      <c r="BD74" s="34"/>
      <c r="BE74" s="153"/>
      <c r="BF74" s="31"/>
      <c r="BG74" s="36"/>
      <c r="BH74" s="31"/>
      <c r="BI74" s="41"/>
      <c r="BK74" s="454"/>
      <c r="BL74" s="80" t="s">
        <v>217</v>
      </c>
      <c r="BM74" s="99"/>
      <c r="BN74" s="57"/>
      <c r="BO74" s="3"/>
      <c r="BP74" s="57"/>
      <c r="BQ74" s="3"/>
      <c r="BR74" s="57"/>
      <c r="BS74" s="3"/>
      <c r="BT74" s="57"/>
      <c r="BU74" s="3"/>
      <c r="BV74" s="57"/>
      <c r="BW74" s="3"/>
      <c r="BX74" s="63"/>
      <c r="BY74" s="3"/>
      <c r="BZ74" s="57"/>
      <c r="CA74" s="3"/>
      <c r="CB74" s="57"/>
      <c r="CC74" s="3"/>
      <c r="CD74" s="57"/>
      <c r="CE74" s="160"/>
      <c r="CF74" s="34"/>
      <c r="CG74" s="153"/>
      <c r="CH74" s="57"/>
      <c r="CI74" s="64"/>
      <c r="CJ74" s="57"/>
      <c r="CK74" s="64"/>
      <c r="CL74" s="57"/>
      <c r="CM74" s="3"/>
      <c r="CN74" s="148"/>
      <c r="CO74" s="34"/>
      <c r="CP74" s="153"/>
      <c r="CQ74" s="3"/>
      <c r="CR74" s="63"/>
      <c r="CS74" s="3"/>
      <c r="CT74" s="63"/>
      <c r="CV74" s="454"/>
      <c r="CW74" s="80" t="s">
        <v>217</v>
      </c>
      <c r="CX74" s="99"/>
      <c r="CY74" s="31"/>
      <c r="CZ74" s="34"/>
      <c r="DA74" s="31"/>
      <c r="DB74" s="34"/>
      <c r="DC74" s="31"/>
      <c r="DD74" s="34"/>
      <c r="DE74" s="31"/>
      <c r="DF74" s="36"/>
      <c r="DG74" s="31"/>
      <c r="DH74" s="34"/>
      <c r="DI74" s="31"/>
      <c r="DJ74" s="34"/>
      <c r="DK74" s="31"/>
      <c r="DL74" s="34"/>
      <c r="DM74" s="40"/>
      <c r="DN74" s="34"/>
      <c r="DO74" s="31"/>
      <c r="DP74" s="34"/>
      <c r="DQ74" s="75"/>
      <c r="DR74" s="115"/>
      <c r="DS74" s="131"/>
      <c r="DT74" s="77"/>
      <c r="DW74" s="454"/>
      <c r="DX74" s="80" t="s">
        <v>217</v>
      </c>
      <c r="DY74" s="99"/>
      <c r="DZ74" s="78"/>
      <c r="EA74" s="15"/>
      <c r="EB74" s="3"/>
      <c r="EC74" s="57"/>
      <c r="ED74" s="3"/>
      <c r="EE74" s="149">
        <f t="shared" si="4"/>
        <v>0</v>
      </c>
      <c r="EF74" s="21"/>
      <c r="EG74" s="154"/>
      <c r="EH74" s="162">
        <f t="shared" si="5"/>
        <v>0</v>
      </c>
      <c r="EI74" s="21"/>
      <c r="EJ74" s="162"/>
      <c r="EK74" s="149">
        <f t="shared" si="6"/>
        <v>0</v>
      </c>
      <c r="EL74" s="21"/>
      <c r="EM74" s="154"/>
      <c r="EN74" s="162">
        <f t="shared" si="7"/>
        <v>0</v>
      </c>
      <c r="EO74" s="21"/>
      <c r="EP74" s="154"/>
      <c r="EQ74" s="75"/>
      <c r="ER74" s="115"/>
      <c r="ES74" s="131"/>
      <c r="ET74" s="77"/>
      <c r="EU74" s="77"/>
      <c r="EV74" s="499" t="s">
        <v>509</v>
      </c>
    </row>
    <row r="75" spans="1:152" x14ac:dyDescent="0.25">
      <c r="A75" s="138"/>
      <c r="B75" s="138"/>
      <c r="C75" s="138"/>
      <c r="G75" s="184" t="s">
        <v>300</v>
      </c>
      <c r="H75" s="184" t="s">
        <v>418</v>
      </c>
      <c r="L75" s="455"/>
      <c r="M75" s="44" t="s">
        <v>194</v>
      </c>
      <c r="N75" s="106">
        <v>3.5</v>
      </c>
      <c r="O75" s="25">
        <f>'QE &amp; MOMEN'!S64*1000</f>
        <v>300</v>
      </c>
      <c r="P75" s="26">
        <f>'QE &amp; MOMEN'!V64*1000</f>
        <v>200</v>
      </c>
      <c r="Q75" s="27">
        <f>'QE &amp; MOMEN'!BC54</f>
        <v>8.9991789358600514</v>
      </c>
      <c r="R75" s="24">
        <f>'QE &amp; MOMEN'!BA54</f>
        <v>20.736518586005829</v>
      </c>
      <c r="S75" s="27">
        <f>'QE &amp; MOMEN'!BE54</f>
        <v>31.538584062196303</v>
      </c>
      <c r="T75" s="26">
        <f>$H$4</f>
        <v>0.85</v>
      </c>
      <c r="U75" s="27">
        <f>T75*0.85*$H$7/$H$8*600/(600+$H$8)</f>
        <v>2.7093749999999993E-2</v>
      </c>
      <c r="V75" s="24">
        <f>0.75*U75*$H$8*(1-(0.5*0.75*U75*$H$8/(0.85*$H$7)))</f>
        <v>6.5736210937499981</v>
      </c>
      <c r="W75" s="43">
        <f>$H$27</f>
        <v>0.8</v>
      </c>
      <c r="Z75" s="455"/>
      <c r="AA75" s="44" t="s">
        <v>194</v>
      </c>
      <c r="AB75" s="106">
        <v>3.5</v>
      </c>
      <c r="AC75" s="30">
        <f>O75</f>
        <v>300</v>
      </c>
      <c r="AD75" s="31">
        <f>P75</f>
        <v>200</v>
      </c>
      <c r="AE75" s="32">
        <f>Q75</f>
        <v>8.9991789358600514</v>
      </c>
      <c r="AF75" s="33">
        <f>AE75/W75</f>
        <v>11.248973669825064</v>
      </c>
      <c r="AG75" s="34">
        <v>50</v>
      </c>
      <c r="AH75" s="31">
        <f>AC75-AG75</f>
        <v>250</v>
      </c>
      <c r="AI75" s="35">
        <f>AF75*10^6/(AD75*AH75^2)</f>
        <v>0.89991789358600516</v>
      </c>
      <c r="AJ75" s="31">
        <f>$H$13</f>
        <v>13</v>
      </c>
      <c r="AK75" s="34">
        <f>$H$14</f>
        <v>8</v>
      </c>
      <c r="AL75" s="31">
        <f>$H$15</f>
        <v>25</v>
      </c>
      <c r="AM75" s="36" t="str">
        <f>IF(AI75&lt;=V75,"OK","NG")</f>
        <v>OK</v>
      </c>
      <c r="AN75" s="37">
        <f>0.85*($H$7/$H$8)*(1-(SQRT(1-2*AI75/(0.85*$H$7))))</f>
        <v>2.2995640991027269E-3</v>
      </c>
      <c r="AO75" s="38">
        <f>1.4/$H$8</f>
        <v>3.4999999999999996E-3</v>
      </c>
      <c r="AP75" s="37">
        <f>0.5*U75</f>
        <v>1.3546874999999996E-2</v>
      </c>
      <c r="AQ75" s="38">
        <f>MAX(AN75:AO75)</f>
        <v>3.4999999999999996E-3</v>
      </c>
      <c r="AR75" s="33">
        <f>AQ75*AD75*AH75</f>
        <v>175</v>
      </c>
      <c r="AS75" s="35">
        <f>AR75/((22/7)/4*AJ75^2)</f>
        <v>1.3179128563743949</v>
      </c>
      <c r="AT75" s="148">
        <f>ROUNDUP(AS75,0)</f>
        <v>2</v>
      </c>
      <c r="AU75" s="49">
        <f>MAX(AT75,AV75)</f>
        <v>2</v>
      </c>
      <c r="AV75" s="153">
        <v>2</v>
      </c>
      <c r="AW75" s="35">
        <f>AU75*(22/7)/4*AJ75^2</f>
        <v>265.57142857142856</v>
      </c>
      <c r="AX75" s="40" t="str">
        <f>IF(AR75&lt;=AW75,"OK","NG")</f>
        <v>OK</v>
      </c>
      <c r="AY75" s="34">
        <f>(AD75-(2*AL75+2*AK75+AU75*AJ75))/(AU75-1)</f>
        <v>108</v>
      </c>
      <c r="AZ75" s="40" t="str">
        <f>IF(AY75&gt;= 25,"OK","NG")</f>
        <v>OK</v>
      </c>
      <c r="BA75" s="34">
        <f>AR75/2</f>
        <v>87.5</v>
      </c>
      <c r="BB75" s="33">
        <f>BA75/((22/7)/4*AJ75^2)</f>
        <v>0.65895642818719746</v>
      </c>
      <c r="BC75" s="160">
        <f>ROUNDUP(BB75,0)</f>
        <v>1</v>
      </c>
      <c r="BD75" s="49">
        <f>MAX(BC75,BE75)</f>
        <v>2</v>
      </c>
      <c r="BE75" s="153">
        <v>2</v>
      </c>
      <c r="BF75" s="33">
        <f>BD75*(22/7)/4*AJ75^2</f>
        <v>265.57142857142856</v>
      </c>
      <c r="BG75" s="36" t="str">
        <f>IF(BA75&lt;=BF75,"OK","NG")</f>
        <v>OK</v>
      </c>
      <c r="BH75" s="31">
        <f>(AD75-(2*AL75+2*AK75+BD75*AJ75))/(BD75-1)</f>
        <v>108</v>
      </c>
      <c r="BI75" s="41" t="str">
        <f>IF(BH75&gt;= 25,"OK","NG")</f>
        <v>OK</v>
      </c>
      <c r="BK75" s="455"/>
      <c r="BL75" s="44" t="s">
        <v>194</v>
      </c>
      <c r="BM75" s="106">
        <v>3.5</v>
      </c>
      <c r="BN75" s="57">
        <f>O75</f>
        <v>300</v>
      </c>
      <c r="BO75" s="3">
        <f>P75</f>
        <v>200</v>
      </c>
      <c r="BP75" s="59">
        <f>R75</f>
        <v>20.736518586005829</v>
      </c>
      <c r="BQ75" s="60">
        <f>BP75/W75</f>
        <v>25.920648232507286</v>
      </c>
      <c r="BR75" s="57">
        <v>50</v>
      </c>
      <c r="BS75" s="3">
        <f>BN75-BR75</f>
        <v>250</v>
      </c>
      <c r="BT75" s="71">
        <f>BQ75*10^6/(BO75*BS75^2)</f>
        <v>2.073651858600583</v>
      </c>
      <c r="BU75" s="3">
        <f>$H$13</f>
        <v>13</v>
      </c>
      <c r="BV75" s="57">
        <f>$H$14</f>
        <v>8</v>
      </c>
      <c r="BW75" s="3">
        <f>$H$15</f>
        <v>25</v>
      </c>
      <c r="BX75" s="63" t="str">
        <f>IF(BT75&lt;=V75,"OK","NG")</f>
        <v>OK</v>
      </c>
      <c r="BY75" s="72">
        <f>0.85*($H$7/$H$8)*(1-(SQRT(1-2*BT75/(0.85*$H$7))))</f>
        <v>5.4652491607517922E-3</v>
      </c>
      <c r="BZ75" s="73">
        <f>1.4/$H$8</f>
        <v>3.4999999999999996E-3</v>
      </c>
      <c r="CA75" s="72">
        <f>0.5*U75</f>
        <v>1.3546874999999996E-2</v>
      </c>
      <c r="CB75" s="73">
        <f>MAX(BY75:BZ75)</f>
        <v>5.4652491607517922E-3</v>
      </c>
      <c r="CC75" s="60">
        <f>CB75*BO75*BS75</f>
        <v>273.26245803758962</v>
      </c>
      <c r="CD75" s="71">
        <f>CC75/((22/7)/4*BU75^2)</f>
        <v>2.057920609212617</v>
      </c>
      <c r="CE75" s="160">
        <f>ROUNDUP(CD75,0)</f>
        <v>3</v>
      </c>
      <c r="CF75" s="49">
        <f>MAX(CE75,CG75)</f>
        <v>3</v>
      </c>
      <c r="CG75" s="153">
        <v>2</v>
      </c>
      <c r="CH75" s="43">
        <f>CF75*(22/7)/4*BU75^2</f>
        <v>398.35714285714289</v>
      </c>
      <c r="CI75" s="47" t="str">
        <f>IF(CC75&lt;=CH75,"OK","NG")</f>
        <v>OK</v>
      </c>
      <c r="CJ75" s="26">
        <f>(BO75-(2*BW75+2*BV75+CF75*BU75))/(CF75-1)</f>
        <v>47.5</v>
      </c>
      <c r="CK75" s="47" t="str">
        <f>IF(CJ75&gt;= 25,"OK","NG")</f>
        <v>OK</v>
      </c>
      <c r="CL75" s="26">
        <f>CC75/2</f>
        <v>136.63122901879481</v>
      </c>
      <c r="CM75" s="28">
        <f>CL75/((22/7)/4*BU75^2)</f>
        <v>1.0289603046063085</v>
      </c>
      <c r="CN75" s="150">
        <f>ROUNDUP(CM75,0)</f>
        <v>2</v>
      </c>
      <c r="CO75" s="49">
        <f>MAX(CN75,CP75)</f>
        <v>2</v>
      </c>
      <c r="CP75" s="153">
        <v>2</v>
      </c>
      <c r="CQ75" s="28">
        <f>CO75*(22/7)/4*BU75^2</f>
        <v>265.57142857142856</v>
      </c>
      <c r="CR75" s="44" t="str">
        <f>IF(CL75&lt;=CQ75,"OK","NG")</f>
        <v>OK</v>
      </c>
      <c r="CS75" s="42">
        <f>(BO75-(2*BW75+2*BV75+CO75*BU75))/(CO75-1)</f>
        <v>108</v>
      </c>
      <c r="CT75" s="63" t="str">
        <f>IF(CS75&gt;= 25,"OK","NG")</f>
        <v>OK</v>
      </c>
      <c r="CV75" s="455"/>
      <c r="CW75" s="44" t="s">
        <v>194</v>
      </c>
      <c r="CX75" s="106">
        <v>3.5</v>
      </c>
      <c r="CY75" s="31">
        <f>O75</f>
        <v>300</v>
      </c>
      <c r="CZ75" s="34">
        <f>P75</f>
        <v>200</v>
      </c>
      <c r="DA75" s="74">
        <f>S75</f>
        <v>31.538584062196303</v>
      </c>
      <c r="DB75" s="34">
        <v>0.6</v>
      </c>
      <c r="DC75" s="31">
        <f>$H$9</f>
        <v>240</v>
      </c>
      <c r="DD75" s="34">
        <f>1/6*SQRT($H$7)*CZ75*BS75*0.001</f>
        <v>41.666666666666664</v>
      </c>
      <c r="DE75" s="31">
        <f>DB75*DD75</f>
        <v>24.999999999999996</v>
      </c>
      <c r="DF75" s="36" t="str">
        <f>IF(DA75&lt;=DE75,"Tul. Gerser Praktis","Perlu Tul Geser")</f>
        <v>Perlu Tul Geser</v>
      </c>
      <c r="DG75" s="74">
        <f>DA75-DE75</f>
        <v>6.5385840621963069</v>
      </c>
      <c r="DH75" s="34">
        <f>DG75/DB75</f>
        <v>10.897640103660512</v>
      </c>
      <c r="DI75" s="31">
        <v>1</v>
      </c>
      <c r="DJ75" s="34">
        <f>$AK$11</f>
        <v>8</v>
      </c>
      <c r="DK75" s="31">
        <f>DI75*((22/7)/4)*DJ75^2</f>
        <v>50.285714285714285</v>
      </c>
      <c r="DL75" s="34">
        <f>DK75*DC73*BS75/(DH75*10^3)</f>
        <v>276.86203879401376</v>
      </c>
      <c r="DM75" s="40" t="str">
        <f>IF(DH75&lt;(1/3*SQRT($H$7)*CZ75*BS75),"1/2 D - 600","1/4D - 300")</f>
        <v>1/2 D - 600</v>
      </c>
      <c r="DN75" s="34">
        <f>1/2*AH75</f>
        <v>125</v>
      </c>
      <c r="DO75" s="31">
        <v>600</v>
      </c>
      <c r="DP75" s="34">
        <f>MIN(DL75,DN75,DO75)</f>
        <v>125</v>
      </c>
      <c r="DQ75" s="75" t="s">
        <v>323</v>
      </c>
      <c r="DR75" s="115">
        <f>$H$14</f>
        <v>8</v>
      </c>
      <c r="DS75" s="76" t="s">
        <v>41</v>
      </c>
      <c r="DT75" s="77">
        <f>DP75</f>
        <v>125</v>
      </c>
      <c r="DW75" s="455"/>
      <c r="DX75" s="44" t="s">
        <v>194</v>
      </c>
      <c r="DY75" s="106">
        <v>3.5</v>
      </c>
      <c r="DZ75" s="25">
        <f>O75</f>
        <v>300</v>
      </c>
      <c r="EA75" s="26">
        <f>P75</f>
        <v>200</v>
      </c>
      <c r="EB75" s="3">
        <f>$H$13</f>
        <v>13</v>
      </c>
      <c r="EC75" s="57">
        <f>$H$14</f>
        <v>8</v>
      </c>
      <c r="ED75" s="3">
        <f>$H$15</f>
        <v>25</v>
      </c>
      <c r="EE75" s="150">
        <f t="shared" si="4"/>
        <v>2</v>
      </c>
      <c r="EF75" s="49">
        <f>MAX(EE75,EG75)</f>
        <v>2</v>
      </c>
      <c r="EG75" s="155">
        <v>2</v>
      </c>
      <c r="EH75" s="163">
        <f t="shared" si="5"/>
        <v>1</v>
      </c>
      <c r="EI75" s="49">
        <f>MAX(EH75,EJ75)</f>
        <v>2</v>
      </c>
      <c r="EJ75" s="163">
        <v>2</v>
      </c>
      <c r="EK75" s="150">
        <f t="shared" si="6"/>
        <v>3</v>
      </c>
      <c r="EL75" s="49">
        <f>MAX(EK75,EM75)</f>
        <v>3</v>
      </c>
      <c r="EM75" s="155">
        <v>2</v>
      </c>
      <c r="EN75" s="163">
        <f t="shared" si="7"/>
        <v>2</v>
      </c>
      <c r="EO75" s="49">
        <f>MAX(EN75,EP75)</f>
        <v>2</v>
      </c>
      <c r="EP75" s="155">
        <v>2</v>
      </c>
      <c r="EQ75" s="75" t="s">
        <v>323</v>
      </c>
      <c r="ER75" s="115">
        <f>$H$14</f>
        <v>8</v>
      </c>
      <c r="ES75" s="76" t="s">
        <v>41</v>
      </c>
      <c r="ET75" s="55">
        <f>DT75</f>
        <v>125</v>
      </c>
      <c r="EU75" s="55"/>
      <c r="EV75" s="499"/>
    </row>
    <row r="76" spans="1:152" x14ac:dyDescent="0.25">
      <c r="A76" s="138" t="s">
        <v>429</v>
      </c>
      <c r="G76" s="2" t="s">
        <v>430</v>
      </c>
      <c r="H76" s="2" t="s">
        <v>416</v>
      </c>
      <c r="I76" s="112" t="s">
        <v>109</v>
      </c>
      <c r="L76" s="453">
        <v>8</v>
      </c>
      <c r="M76" s="80" t="s">
        <v>220</v>
      </c>
      <c r="N76" s="99"/>
      <c r="O76" s="56"/>
      <c r="P76" s="57"/>
      <c r="Q76" s="58"/>
      <c r="R76" s="59"/>
      <c r="S76" s="58"/>
      <c r="T76" s="57"/>
      <c r="U76" s="58"/>
      <c r="V76" s="59"/>
      <c r="W76" s="71"/>
      <c r="Z76" s="453">
        <v>8</v>
      </c>
      <c r="AA76" s="80" t="s">
        <v>220</v>
      </c>
      <c r="AB76" s="99"/>
      <c r="AC76" s="61"/>
      <c r="AD76" s="20"/>
      <c r="AE76" s="21"/>
      <c r="AF76" s="20"/>
      <c r="AG76" s="21"/>
      <c r="AH76" s="20"/>
      <c r="AI76" s="21"/>
      <c r="AJ76" s="20"/>
      <c r="AK76" s="21"/>
      <c r="AL76" s="20"/>
      <c r="AM76" s="22"/>
      <c r="AN76" s="101"/>
      <c r="AO76" s="21"/>
      <c r="AP76" s="20"/>
      <c r="AQ76" s="21"/>
      <c r="AR76" s="20"/>
      <c r="AS76" s="21"/>
      <c r="AT76" s="149"/>
      <c r="AU76" s="34"/>
      <c r="AV76" s="154"/>
      <c r="AW76" s="21"/>
      <c r="AX76" s="18"/>
      <c r="AY76" s="21"/>
      <c r="AZ76" s="18"/>
      <c r="BA76" s="21"/>
      <c r="BB76" s="20"/>
      <c r="BC76" s="162"/>
      <c r="BD76" s="34"/>
      <c r="BE76" s="154"/>
      <c r="BF76" s="20"/>
      <c r="BG76" s="22"/>
      <c r="BH76" s="20"/>
      <c r="BI76" s="62"/>
      <c r="BK76" s="453">
        <v>8</v>
      </c>
      <c r="BL76" s="80" t="s">
        <v>220</v>
      </c>
      <c r="BM76" s="99"/>
      <c r="BN76" s="15"/>
      <c r="BO76" s="79"/>
      <c r="BP76" s="15"/>
      <c r="BQ76" s="79"/>
      <c r="BR76" s="15"/>
      <c r="BS76" s="79"/>
      <c r="BT76" s="15"/>
      <c r="BU76" s="79"/>
      <c r="BV76" s="15"/>
      <c r="BW76" s="79"/>
      <c r="BX76" s="80"/>
      <c r="BY76" s="79"/>
      <c r="BZ76" s="15"/>
      <c r="CA76" s="79"/>
      <c r="CB76" s="15"/>
      <c r="CC76" s="79"/>
      <c r="CD76" s="15"/>
      <c r="CE76" s="162"/>
      <c r="CF76" s="34"/>
      <c r="CG76" s="154"/>
      <c r="CH76" s="15"/>
      <c r="CI76" s="81"/>
      <c r="CJ76" s="15"/>
      <c r="CK76" s="81"/>
      <c r="CL76" s="15"/>
      <c r="CM76" s="79"/>
      <c r="CN76" s="149"/>
      <c r="CO76" s="34"/>
      <c r="CP76" s="154"/>
      <c r="CQ76" s="79"/>
      <c r="CR76" s="80"/>
      <c r="CS76" s="79"/>
      <c r="CT76" s="80"/>
      <c r="CV76" s="453">
        <v>8</v>
      </c>
      <c r="CW76" s="80" t="s">
        <v>220</v>
      </c>
      <c r="CX76" s="99"/>
      <c r="CY76" s="20"/>
      <c r="CZ76" s="21"/>
      <c r="DA76" s="20"/>
      <c r="DB76" s="21"/>
      <c r="DC76" s="20"/>
      <c r="DD76" s="21"/>
      <c r="DE76" s="20"/>
      <c r="DF76" s="22"/>
      <c r="DG76" s="20"/>
      <c r="DH76" s="21"/>
      <c r="DI76" s="20"/>
      <c r="DJ76" s="21"/>
      <c r="DK76" s="20"/>
      <c r="DL76" s="21"/>
      <c r="DM76" s="18"/>
      <c r="DN76" s="21"/>
      <c r="DO76" s="20"/>
      <c r="DP76" s="21"/>
      <c r="DQ76" s="132"/>
      <c r="DR76" s="141"/>
      <c r="DS76" s="102"/>
      <c r="DT76" s="133"/>
      <c r="DW76" s="453">
        <v>8</v>
      </c>
      <c r="DX76" s="80" t="s">
        <v>220</v>
      </c>
      <c r="DY76" s="99"/>
      <c r="DZ76" s="78"/>
      <c r="EA76" s="15"/>
      <c r="EB76" s="79"/>
      <c r="EC76" s="15"/>
      <c r="ED76" s="79"/>
      <c r="EE76" s="149">
        <f t="shared" si="4"/>
        <v>0</v>
      </c>
      <c r="EF76" s="21"/>
      <c r="EG76" s="154"/>
      <c r="EH76" s="162">
        <f t="shared" si="5"/>
        <v>0</v>
      </c>
      <c r="EI76" s="21"/>
      <c r="EJ76" s="162"/>
      <c r="EK76" s="149">
        <f t="shared" si="6"/>
        <v>0</v>
      </c>
      <c r="EL76" s="21"/>
      <c r="EM76" s="154"/>
      <c r="EN76" s="162">
        <f t="shared" si="7"/>
        <v>0</v>
      </c>
      <c r="EO76" s="21"/>
      <c r="EP76" s="162"/>
      <c r="EQ76" s="132"/>
      <c r="ER76" s="141"/>
      <c r="ES76" s="102"/>
      <c r="ET76" s="133"/>
      <c r="EU76" s="133"/>
      <c r="EV76" s="499" t="s">
        <v>363</v>
      </c>
    </row>
    <row r="77" spans="1:152" x14ac:dyDescent="0.25">
      <c r="A77" s="138"/>
      <c r="G77" s="184" t="s">
        <v>300</v>
      </c>
      <c r="H77" s="184" t="s">
        <v>419</v>
      </c>
      <c r="L77" s="454"/>
      <c r="M77" s="63" t="s">
        <v>194</v>
      </c>
      <c r="N77" s="108">
        <v>2</v>
      </c>
      <c r="O77" s="25">
        <f>'QE &amp; MOMEN'!S66*1000</f>
        <v>250</v>
      </c>
      <c r="P77" s="26">
        <f>'QE &amp; MOMEN'!V66*1000</f>
        <v>150</v>
      </c>
      <c r="Q77" s="27">
        <f>'QE &amp; MOMEN'!AA66</f>
        <v>2.785333333333333</v>
      </c>
      <c r="R77" s="24">
        <f>'QE &amp; MOMEN'!AA66</f>
        <v>2.785333333333333</v>
      </c>
      <c r="S77" s="27">
        <f>'QE &amp; MOMEN'!AB66</f>
        <v>8.3559999999999999</v>
      </c>
      <c r="T77" s="26">
        <f>$H$4</f>
        <v>0.85</v>
      </c>
      <c r="U77" s="27">
        <f>T77*0.85*$H$7/$H$8*600/(600+$H$8)</f>
        <v>2.7093749999999993E-2</v>
      </c>
      <c r="V77" s="24">
        <f>0.75*U77*$H$8*(1-(0.5*0.75*U77*$H$8/(0.85*$H$7)))</f>
        <v>6.5736210937499981</v>
      </c>
      <c r="W77" s="43">
        <f>$H$27</f>
        <v>0.8</v>
      </c>
      <c r="X77" s="128"/>
      <c r="Z77" s="454"/>
      <c r="AA77" s="63" t="s">
        <v>194</v>
      </c>
      <c r="AB77" s="108">
        <v>2</v>
      </c>
      <c r="AC77" s="65">
        <f>O77</f>
        <v>250</v>
      </c>
      <c r="AD77" s="48">
        <f>P77</f>
        <v>150</v>
      </c>
      <c r="AE77" s="32">
        <f>Q77</f>
        <v>2.785333333333333</v>
      </c>
      <c r="AF77" s="33">
        <f>AE77/W77</f>
        <v>3.481666666666666</v>
      </c>
      <c r="AG77" s="34">
        <v>50</v>
      </c>
      <c r="AH77" s="31">
        <f>AC77-AG77</f>
        <v>200</v>
      </c>
      <c r="AI77" s="35">
        <f>AF77*10^6/(AD77*AH77^2)</f>
        <v>0.58027777777777767</v>
      </c>
      <c r="AJ77" s="31">
        <f>$H$13</f>
        <v>13</v>
      </c>
      <c r="AK77" s="34">
        <f>$H$14</f>
        <v>8</v>
      </c>
      <c r="AL77" s="31">
        <f>$H$15</f>
        <v>25</v>
      </c>
      <c r="AM77" s="36" t="str">
        <f>IF(AI77&lt;=V77,"OK","NG")</f>
        <v>OK</v>
      </c>
      <c r="AN77" s="37">
        <f>0.85*($H$7/$H$8)*(1-(SQRT(1-2*AI77/(0.85*$H$7))))</f>
        <v>1.4710617157047945E-3</v>
      </c>
      <c r="AO77" s="38">
        <f>1.4/$H$8</f>
        <v>3.4999999999999996E-3</v>
      </c>
      <c r="AP77" s="37">
        <f>0.5*U77</f>
        <v>1.3546874999999996E-2</v>
      </c>
      <c r="AQ77" s="38">
        <f>MAX(AN77:AO77)</f>
        <v>3.4999999999999996E-3</v>
      </c>
      <c r="AR77" s="33">
        <f>AQ77*AD77*AH77</f>
        <v>104.99999999999999</v>
      </c>
      <c r="AS77" s="35">
        <f>AR77/((22/7)/4*AJ77^2)</f>
        <v>0.79074771382463682</v>
      </c>
      <c r="AT77" s="150">
        <f>ROUNDUP(AS77,0)</f>
        <v>1</v>
      </c>
      <c r="AU77" s="49">
        <f>MAX(AT77,AV77)</f>
        <v>2</v>
      </c>
      <c r="AV77" s="155">
        <v>2</v>
      </c>
      <c r="AW77" s="35">
        <f>AU77*(22/7)/4*AJ77^2</f>
        <v>265.57142857142856</v>
      </c>
      <c r="AX77" s="40" t="str">
        <f>IF(AR77&lt;=AW77,"OK","NG")</f>
        <v>OK</v>
      </c>
      <c r="AY77" s="34">
        <f>(AD77-(2*AL77+2*AK77+AU77*AJ77))/(AU77-1)</f>
        <v>58</v>
      </c>
      <c r="AZ77" s="40" t="str">
        <f>IF(AY77&gt;= 25,"OK","NG")</f>
        <v>OK</v>
      </c>
      <c r="BA77" s="34">
        <f>AR77/2</f>
        <v>52.499999999999993</v>
      </c>
      <c r="BB77" s="33">
        <f>BA77/((22/7)/4*AJ77^2)</f>
        <v>0.39537385691231841</v>
      </c>
      <c r="BC77" s="160">
        <f>ROUNDUP(BB77,0)</f>
        <v>1</v>
      </c>
      <c r="BD77" s="49">
        <f>MAX(BC77,BE77)</f>
        <v>2</v>
      </c>
      <c r="BE77" s="155">
        <v>2</v>
      </c>
      <c r="BF77" s="33">
        <f>BD77*(22/7)/4*AJ77^2</f>
        <v>265.57142857142856</v>
      </c>
      <c r="BG77" s="36" t="str">
        <f>IF(BA77&lt;=BF77,"OK","NG")</f>
        <v>OK</v>
      </c>
      <c r="BH77" s="31">
        <f>(AD77-(2*AL77+2*AK77+BD77*AJ77))/(BD77-1)</f>
        <v>58</v>
      </c>
      <c r="BI77" s="41" t="str">
        <f>IF(BH77&gt;= 25,"OK","NG")</f>
        <v>OK</v>
      </c>
      <c r="BK77" s="454"/>
      <c r="BL77" s="63" t="s">
        <v>194</v>
      </c>
      <c r="BM77" s="108">
        <v>2</v>
      </c>
      <c r="BN77" s="57">
        <f>O77</f>
        <v>250</v>
      </c>
      <c r="BO77" s="3">
        <f>P77</f>
        <v>150</v>
      </c>
      <c r="BP77" s="59">
        <f>R77</f>
        <v>2.785333333333333</v>
      </c>
      <c r="BQ77" s="43">
        <f>BP77/W77</f>
        <v>3.481666666666666</v>
      </c>
      <c r="BR77" s="57">
        <v>50</v>
      </c>
      <c r="BS77" s="3">
        <f>BN77-BR77</f>
        <v>200</v>
      </c>
      <c r="BT77" s="71">
        <f>BQ77*10^6/(BO77*BS77^2)</f>
        <v>0.58027777777777767</v>
      </c>
      <c r="BU77" s="3">
        <f>$H$13</f>
        <v>13</v>
      </c>
      <c r="BV77" s="57">
        <f>$H$14</f>
        <v>8</v>
      </c>
      <c r="BW77" s="3">
        <f>$H$15</f>
        <v>25</v>
      </c>
      <c r="BX77" s="63" t="str">
        <f>IF(BT77&lt;=V77,"OK","NG")</f>
        <v>OK</v>
      </c>
      <c r="BY77" s="72">
        <f>0.85*($H$7/$H$8)*(1-(SQRT(1-2*BT77/(0.85*$H$7))))</f>
        <v>1.4710617157047945E-3</v>
      </c>
      <c r="BZ77" s="73">
        <f>1.4/$H$8</f>
        <v>3.4999999999999996E-3</v>
      </c>
      <c r="CA77" s="72">
        <f>0.5*U77</f>
        <v>1.3546874999999996E-2</v>
      </c>
      <c r="CB77" s="73">
        <f>MAX(BY77:BZ77)</f>
        <v>3.4999999999999996E-3</v>
      </c>
      <c r="CC77" s="60">
        <f>CB77*BO77*BS77</f>
        <v>104.99999999999999</v>
      </c>
      <c r="CD77" s="71">
        <f>CC77/((22/7)/4*BU77^2)</f>
        <v>0.79074771382463682</v>
      </c>
      <c r="CE77" s="160">
        <f>ROUNDUP(CD77,0)</f>
        <v>1</v>
      </c>
      <c r="CF77" s="49">
        <f>MAX(CE77,CG77)</f>
        <v>2</v>
      </c>
      <c r="CG77" s="155">
        <v>2</v>
      </c>
      <c r="CH77" s="43">
        <f>CF77*(22/7)/4*BU77^2</f>
        <v>265.57142857142856</v>
      </c>
      <c r="CI77" s="47" t="str">
        <f>IF(CC77&lt;=CH77,"OK","NG")</f>
        <v>OK</v>
      </c>
      <c r="CJ77" s="26">
        <f>(BO77-(2*BW77+2*BV77+CF77*BU77))/(CF77-1)</f>
        <v>58</v>
      </c>
      <c r="CK77" s="47" t="str">
        <f>IF(CJ77&gt;= 25,"OK","NG")</f>
        <v>OK</v>
      </c>
      <c r="CL77" s="26">
        <f>CC77/2</f>
        <v>52.499999999999993</v>
      </c>
      <c r="CM77" s="28">
        <f>CL77/((22/7)/4*BU77^2)</f>
        <v>0.39537385691231841</v>
      </c>
      <c r="CN77" s="150">
        <f>ROUNDUP(CM77,0)</f>
        <v>1</v>
      </c>
      <c r="CO77" s="49">
        <f>MAX(CN77,CP77)</f>
        <v>2</v>
      </c>
      <c r="CP77" s="153">
        <v>2</v>
      </c>
      <c r="CQ77" s="28">
        <f>CO77*(22/7)/4*BU77^2</f>
        <v>265.57142857142856</v>
      </c>
      <c r="CR77" s="44" t="str">
        <f>IF(CL77&lt;=CQ77,"OK","NG")</f>
        <v>OK</v>
      </c>
      <c r="CS77" s="42">
        <f>(BO77-(2*BW77+2*BV77+CO77*BU77))/(CO77-1)</f>
        <v>58</v>
      </c>
      <c r="CT77" s="63" t="str">
        <f>IF(CS77&gt;= 25,"OK","NG")</f>
        <v>OK</v>
      </c>
      <c r="CU77" s="140"/>
      <c r="CV77" s="454"/>
      <c r="CW77" s="63" t="s">
        <v>194</v>
      </c>
      <c r="CX77" s="108">
        <v>2</v>
      </c>
      <c r="CY77" s="31">
        <f>O77</f>
        <v>250</v>
      </c>
      <c r="CZ77" s="34">
        <f>P77</f>
        <v>150</v>
      </c>
      <c r="DA77" s="74">
        <f>S77</f>
        <v>8.3559999999999999</v>
      </c>
      <c r="DB77" s="34">
        <v>0.6</v>
      </c>
      <c r="DC77" s="31">
        <f>$H$9</f>
        <v>240</v>
      </c>
      <c r="DD77" s="34">
        <f>1/6*SQRT($H$7)*CZ77*BS77*0.001</f>
        <v>24.999999999999996</v>
      </c>
      <c r="DE77" s="31">
        <f>DB77*DD77</f>
        <v>14.999999999999996</v>
      </c>
      <c r="DF77" s="52" t="str">
        <f>IF(DA77&lt;=DE77,"Tul. Gerser Praktis","Perlu Tul Geser")</f>
        <v>Tul. Gerser Praktis</v>
      </c>
      <c r="DG77" s="31"/>
      <c r="DH77" s="48"/>
      <c r="DI77" s="31"/>
      <c r="DJ77" s="34"/>
      <c r="DK77" s="31"/>
      <c r="DL77" s="34"/>
      <c r="DM77" s="40"/>
      <c r="DN77" s="34"/>
      <c r="DO77" s="31"/>
      <c r="DP77" s="34">
        <v>200</v>
      </c>
      <c r="DQ77" s="75" t="s">
        <v>323</v>
      </c>
      <c r="DR77" s="115">
        <f>$H$14</f>
        <v>8</v>
      </c>
      <c r="DS77" s="54" t="s">
        <v>41</v>
      </c>
      <c r="DT77" s="55">
        <f>DP77</f>
        <v>200</v>
      </c>
      <c r="DW77" s="455"/>
      <c r="DX77" s="44" t="s">
        <v>194</v>
      </c>
      <c r="DY77" s="106">
        <v>2</v>
      </c>
      <c r="DZ77" s="25">
        <f>O77</f>
        <v>250</v>
      </c>
      <c r="EA77" s="26">
        <f>P77</f>
        <v>150</v>
      </c>
      <c r="EB77" s="42">
        <f>$H$13</f>
        <v>13</v>
      </c>
      <c r="EC77" s="26">
        <f>$H$14</f>
        <v>8</v>
      </c>
      <c r="ED77" s="42">
        <f>$H$15</f>
        <v>25</v>
      </c>
      <c r="EE77" s="150">
        <f t="shared" si="4"/>
        <v>1</v>
      </c>
      <c r="EF77" s="49">
        <f>MAX(EE77,EG77)</f>
        <v>2</v>
      </c>
      <c r="EG77" s="155">
        <v>2</v>
      </c>
      <c r="EH77" s="163">
        <f t="shared" si="5"/>
        <v>1</v>
      </c>
      <c r="EI77" s="49">
        <f>MAX(EH77,EJ77)</f>
        <v>2</v>
      </c>
      <c r="EJ77" s="163">
        <v>2</v>
      </c>
      <c r="EK77" s="150">
        <f t="shared" si="6"/>
        <v>1</v>
      </c>
      <c r="EL77" s="49">
        <f>MAX(EK77,EM77)</f>
        <v>2</v>
      </c>
      <c r="EM77" s="155">
        <v>2</v>
      </c>
      <c r="EN77" s="163">
        <f t="shared" si="7"/>
        <v>1</v>
      </c>
      <c r="EO77" s="49">
        <f>MAX(EN77,EP77)</f>
        <v>2</v>
      </c>
      <c r="EP77" s="163">
        <v>2</v>
      </c>
      <c r="EQ77" s="53" t="s">
        <v>323</v>
      </c>
      <c r="ER77" s="143">
        <f>$H$14</f>
        <v>8</v>
      </c>
      <c r="ES77" s="54" t="s">
        <v>41</v>
      </c>
      <c r="ET77" s="55">
        <f>DT77</f>
        <v>200</v>
      </c>
      <c r="EU77" s="55"/>
      <c r="EV77" s="499"/>
    </row>
    <row r="78" spans="1:152" x14ac:dyDescent="0.25">
      <c r="L78" s="109"/>
      <c r="M78" s="79"/>
      <c r="N78" s="82"/>
      <c r="O78" s="79"/>
      <c r="P78" s="79"/>
      <c r="Q78" s="82"/>
      <c r="R78" s="82"/>
      <c r="S78" s="82"/>
      <c r="T78" s="79"/>
      <c r="U78" s="82"/>
      <c r="V78" s="82"/>
      <c r="W78" s="83"/>
      <c r="X78" s="60"/>
      <c r="Y78" s="60"/>
      <c r="Z78" s="79"/>
      <c r="AA78" s="79"/>
      <c r="AB78" s="79"/>
      <c r="AE78" s="103"/>
      <c r="AF78" s="22"/>
      <c r="AG78" s="11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2"/>
      <c r="AS78" s="21"/>
      <c r="AT78" s="21"/>
      <c r="AU78" s="21"/>
      <c r="AV78" s="21"/>
      <c r="AW78" s="21"/>
      <c r="AX78" s="21"/>
      <c r="AY78" s="21"/>
      <c r="AZ78" s="21"/>
      <c r="BA78" s="22"/>
      <c r="BB78" s="22"/>
      <c r="BC78" s="22"/>
      <c r="BD78" s="21"/>
      <c r="BE78" s="22"/>
      <c r="BF78" s="21"/>
      <c r="BG78" s="22"/>
      <c r="BH78" s="21"/>
      <c r="BI78" s="21"/>
      <c r="BJ78" s="34"/>
      <c r="BK78" s="21"/>
      <c r="BL78" s="22"/>
      <c r="BM78" s="21"/>
      <c r="BN78" s="22"/>
      <c r="BO78" s="21"/>
      <c r="BP78" s="22"/>
      <c r="BR78" s="103"/>
      <c r="BS78" s="22"/>
      <c r="BT78" s="111"/>
      <c r="BU78" s="85"/>
      <c r="BV78" s="85"/>
      <c r="BW78" s="85"/>
      <c r="BX78" s="85"/>
      <c r="BY78" s="85"/>
      <c r="BZ78" s="85"/>
      <c r="CA78" s="85"/>
      <c r="CB78" s="85"/>
      <c r="CC78" s="85"/>
      <c r="CD78" s="85"/>
      <c r="CE78" s="87"/>
      <c r="CF78" s="87"/>
      <c r="CG78" s="87"/>
      <c r="CH78" s="85"/>
      <c r="CI78" s="85"/>
      <c r="CJ78" s="85"/>
      <c r="CK78" s="85"/>
      <c r="CL78" s="85"/>
      <c r="CM78" s="85"/>
      <c r="CN78" s="85"/>
      <c r="CO78" s="85"/>
      <c r="CP78" s="85"/>
      <c r="CQ78" s="85"/>
      <c r="CR78" s="87"/>
      <c r="CS78" s="90"/>
      <c r="CT78" s="87"/>
      <c r="CU78" s="90"/>
      <c r="CV78" s="87"/>
      <c r="CW78" s="85"/>
      <c r="CX78" s="85"/>
      <c r="CY78" s="85"/>
      <c r="CZ78" s="85"/>
      <c r="DA78" s="87"/>
      <c r="DB78" s="85"/>
      <c r="DC78" s="87"/>
      <c r="DD78" s="85"/>
      <c r="DE78" s="87"/>
      <c r="DG78" s="103"/>
      <c r="DH78" s="22"/>
      <c r="DI78" s="111"/>
      <c r="DJ78" s="21"/>
      <c r="DK78" s="21"/>
      <c r="DL78" s="21"/>
      <c r="DM78" s="21"/>
      <c r="DN78" s="21"/>
      <c r="DO78" s="21"/>
      <c r="DP78" s="141"/>
      <c r="DQ78" s="22"/>
      <c r="DR78" s="142"/>
      <c r="DS78" s="34"/>
      <c r="DT78" s="34"/>
      <c r="DU78" s="34"/>
      <c r="DV78" s="34"/>
    </row>
    <row r="79" spans="1:152" x14ac:dyDescent="0.25">
      <c r="A79" s="139" t="s">
        <v>282</v>
      </c>
      <c r="B79" s="138"/>
      <c r="C79" s="138"/>
      <c r="M79" s="3"/>
      <c r="N79" s="58"/>
      <c r="O79" s="3"/>
      <c r="P79" s="3"/>
      <c r="Q79" s="58"/>
      <c r="R79" s="58"/>
      <c r="S79" s="58"/>
      <c r="T79" s="3"/>
      <c r="U79" s="58"/>
      <c r="V79" s="58"/>
      <c r="W79" s="60"/>
      <c r="X79" s="60"/>
      <c r="Y79" s="60"/>
      <c r="Z79" s="3"/>
      <c r="AA79" s="3"/>
      <c r="AB79" s="3"/>
      <c r="AE79" s="113"/>
      <c r="AF79" s="36"/>
      <c r="AG79" s="114"/>
      <c r="AH79" s="34"/>
      <c r="AI79" s="34"/>
      <c r="AJ79" s="32"/>
      <c r="AK79" s="35"/>
      <c r="AL79" s="34"/>
      <c r="AM79" s="34"/>
      <c r="AN79" s="35"/>
      <c r="AO79" s="34"/>
      <c r="AP79" s="34"/>
      <c r="AQ79" s="34"/>
      <c r="AR79" s="36"/>
      <c r="AS79" s="38"/>
      <c r="AT79" s="38"/>
      <c r="AU79" s="38"/>
      <c r="AV79" s="38"/>
      <c r="AW79" s="35"/>
      <c r="AX79" s="35"/>
      <c r="AY79" s="34"/>
      <c r="AZ79" s="35"/>
      <c r="BA79" s="36"/>
      <c r="BB79" s="36"/>
      <c r="BC79" s="36"/>
      <c r="BD79" s="35"/>
      <c r="BE79" s="36"/>
      <c r="BF79" s="34"/>
      <c r="BG79" s="36"/>
      <c r="BH79" s="34"/>
      <c r="BI79" s="35"/>
      <c r="BJ79" s="34"/>
      <c r="BK79" s="35"/>
      <c r="BL79" s="36"/>
      <c r="BM79" s="35"/>
      <c r="BN79" s="36"/>
      <c r="BO79" s="34"/>
      <c r="BP79" s="36"/>
      <c r="BR79" s="113"/>
      <c r="BS79" s="36"/>
      <c r="BT79" s="114"/>
      <c r="BU79" s="3"/>
      <c r="BV79" s="3"/>
      <c r="BW79" s="58"/>
      <c r="BX79" s="60"/>
      <c r="BY79" s="3"/>
      <c r="BZ79" s="3"/>
      <c r="CA79" s="60"/>
      <c r="CB79" s="3"/>
      <c r="CC79" s="3"/>
      <c r="CD79" s="3"/>
      <c r="CE79" s="64"/>
      <c r="CF79" s="64"/>
      <c r="CG79" s="64"/>
      <c r="CH79" s="72"/>
      <c r="CI79" s="72"/>
      <c r="CJ79" s="72"/>
      <c r="CK79" s="72"/>
      <c r="CL79" s="60"/>
      <c r="CM79" s="60"/>
      <c r="CN79" s="3"/>
      <c r="CO79" s="3"/>
      <c r="CP79" s="3"/>
      <c r="CQ79" s="60"/>
      <c r="CR79" s="64"/>
      <c r="CS79" s="60"/>
      <c r="CT79" s="64"/>
      <c r="CU79" s="3"/>
      <c r="CV79" s="64"/>
      <c r="CW79" s="3"/>
      <c r="CX79" s="60"/>
      <c r="CY79" s="3"/>
      <c r="CZ79" s="60"/>
      <c r="DA79" s="64"/>
      <c r="DB79" s="60"/>
      <c r="DC79" s="64"/>
      <c r="DD79" s="3"/>
      <c r="DE79" s="64"/>
      <c r="DG79" s="113"/>
      <c r="DH79" s="36"/>
      <c r="DI79" s="114"/>
      <c r="DJ79" s="34"/>
      <c r="DK79" s="34"/>
      <c r="DL79" s="32"/>
      <c r="DM79" s="34"/>
      <c r="DN79" s="34"/>
      <c r="DO79" s="34"/>
      <c r="DP79" s="115"/>
      <c r="DQ79" s="36"/>
      <c r="DR79" s="146"/>
      <c r="DS79" s="34"/>
      <c r="DT79" s="34"/>
      <c r="DU79" s="34"/>
      <c r="DV79" s="34"/>
    </row>
    <row r="80" spans="1:152" x14ac:dyDescent="0.25">
      <c r="A80" s="138" t="s">
        <v>283</v>
      </c>
      <c r="B80" s="138"/>
      <c r="C80" s="138"/>
      <c r="G80" s="2" t="s">
        <v>260</v>
      </c>
      <c r="H80" s="2" t="s">
        <v>123</v>
      </c>
      <c r="I80" s="112" t="s">
        <v>189</v>
      </c>
      <c r="M80" s="3"/>
      <c r="N80" s="58"/>
      <c r="O80" s="3"/>
      <c r="P80" s="3"/>
      <c r="Q80" s="58"/>
      <c r="R80" s="58"/>
      <c r="S80" s="58"/>
      <c r="T80" s="3"/>
      <c r="U80" s="58"/>
      <c r="V80" s="58"/>
      <c r="W80" s="60"/>
      <c r="X80" s="60"/>
      <c r="Y80" s="60"/>
      <c r="Z80" s="3"/>
      <c r="AA80" s="3"/>
      <c r="AB80" s="3"/>
      <c r="AE80" s="113"/>
      <c r="AF80" s="36"/>
      <c r="AG80" s="11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6"/>
      <c r="AS80" s="34"/>
      <c r="AT80" s="34"/>
      <c r="AU80" s="34"/>
      <c r="AV80" s="34"/>
      <c r="AW80" s="34"/>
      <c r="AX80" s="34"/>
      <c r="AY80" s="34"/>
      <c r="AZ80" s="34"/>
      <c r="BA80" s="36"/>
      <c r="BB80" s="36"/>
      <c r="BC80" s="36"/>
      <c r="BD80" s="34"/>
      <c r="BE80" s="36"/>
      <c r="BF80" s="34"/>
      <c r="BG80" s="36"/>
      <c r="BH80" s="34"/>
      <c r="BI80" s="34"/>
      <c r="BJ80" s="34"/>
      <c r="BK80" s="34"/>
      <c r="BL80" s="36"/>
      <c r="BM80" s="34"/>
      <c r="BN80" s="36"/>
      <c r="BO80" s="34"/>
      <c r="BP80" s="36"/>
      <c r="BR80" s="113"/>
      <c r="BS80" s="36"/>
      <c r="BT80" s="114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64"/>
      <c r="CF80" s="64"/>
      <c r="CG80" s="64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64"/>
      <c r="CS80" s="3"/>
      <c r="CT80" s="64"/>
      <c r="CU80" s="3"/>
      <c r="CV80" s="64"/>
      <c r="CW80" s="3"/>
      <c r="CX80" s="3"/>
      <c r="CY80" s="3"/>
      <c r="CZ80" s="3"/>
      <c r="DA80" s="64"/>
      <c r="DB80" s="3"/>
      <c r="DC80" s="64"/>
      <c r="DD80" s="3"/>
      <c r="DE80" s="64"/>
      <c r="DG80" s="113"/>
      <c r="DH80" s="36"/>
      <c r="DI80" s="114"/>
      <c r="DJ80" s="34"/>
      <c r="DK80" s="34"/>
      <c r="DL80" s="34"/>
      <c r="DM80" s="34"/>
      <c r="DN80" s="34"/>
      <c r="DO80" s="34"/>
      <c r="DP80" s="115"/>
      <c r="DQ80" s="36"/>
      <c r="DR80" s="116"/>
      <c r="DS80" s="34"/>
      <c r="DT80" s="34"/>
      <c r="DU80" s="34"/>
      <c r="DV80" s="34"/>
    </row>
    <row r="81" spans="1:126" x14ac:dyDescent="0.25">
      <c r="A81" s="138" t="s">
        <v>284</v>
      </c>
      <c r="B81" s="138"/>
      <c r="C81" s="138"/>
      <c r="G81" s="2" t="s">
        <v>86</v>
      </c>
      <c r="H81" s="188">
        <v>0.6</v>
      </c>
      <c r="M81" s="3"/>
      <c r="N81" s="58"/>
      <c r="O81" s="3"/>
      <c r="P81" s="3"/>
      <c r="Q81" s="58"/>
      <c r="R81" s="58"/>
      <c r="S81" s="58"/>
      <c r="T81" s="3"/>
      <c r="U81" s="58"/>
      <c r="V81" s="58"/>
      <c r="W81" s="60"/>
      <c r="X81" s="60"/>
      <c r="Y81" s="60"/>
      <c r="Z81" s="3"/>
      <c r="AA81" s="3"/>
      <c r="AB81" s="3"/>
      <c r="AE81" s="113"/>
      <c r="AF81" s="36"/>
      <c r="AG81" s="114"/>
      <c r="AH81" s="34"/>
      <c r="AI81" s="34"/>
      <c r="AJ81" s="32"/>
      <c r="AK81" s="35"/>
      <c r="AL81" s="34"/>
      <c r="AM81" s="34"/>
      <c r="AN81" s="35"/>
      <c r="AO81" s="34"/>
      <c r="AP81" s="34"/>
      <c r="AQ81" s="34"/>
      <c r="AR81" s="36"/>
      <c r="AS81" s="38"/>
      <c r="AT81" s="38"/>
      <c r="AU81" s="38"/>
      <c r="AV81" s="38"/>
      <c r="AW81" s="35"/>
      <c r="AX81" s="35"/>
      <c r="AY81" s="34"/>
      <c r="AZ81" s="35"/>
      <c r="BA81" s="36"/>
      <c r="BB81" s="36"/>
      <c r="BC81" s="36"/>
      <c r="BD81" s="35"/>
      <c r="BE81" s="36"/>
      <c r="BF81" s="34"/>
      <c r="BG81" s="36"/>
      <c r="BH81" s="34"/>
      <c r="BI81" s="35"/>
      <c r="BJ81" s="34"/>
      <c r="BK81" s="35"/>
      <c r="BL81" s="36"/>
      <c r="BM81" s="35"/>
      <c r="BN81" s="36"/>
      <c r="BO81" s="34"/>
      <c r="BP81" s="36"/>
      <c r="BR81" s="113"/>
      <c r="BS81" s="36"/>
      <c r="BT81" s="114"/>
      <c r="BU81" s="3"/>
      <c r="BV81" s="3"/>
      <c r="BW81" s="58"/>
      <c r="BX81" s="60"/>
      <c r="BY81" s="3"/>
      <c r="BZ81" s="3"/>
      <c r="CA81" s="60"/>
      <c r="CB81" s="3"/>
      <c r="CC81" s="3"/>
      <c r="CD81" s="3"/>
      <c r="CE81" s="64"/>
      <c r="CF81" s="64"/>
      <c r="CG81" s="64"/>
      <c r="CH81" s="72"/>
      <c r="CI81" s="72"/>
      <c r="CJ81" s="72"/>
      <c r="CK81" s="72"/>
      <c r="CL81" s="60"/>
      <c r="CM81" s="60"/>
      <c r="CN81" s="3"/>
      <c r="CO81" s="3"/>
      <c r="CP81" s="3"/>
      <c r="CQ81" s="60"/>
      <c r="CR81" s="64"/>
      <c r="CS81" s="60"/>
      <c r="CT81" s="64"/>
      <c r="CU81" s="3"/>
      <c r="CV81" s="64"/>
      <c r="CW81" s="3"/>
      <c r="CX81" s="60"/>
      <c r="CY81" s="3"/>
      <c r="CZ81" s="60"/>
      <c r="DA81" s="64"/>
      <c r="DB81" s="60"/>
      <c r="DC81" s="64"/>
      <c r="DD81" s="3"/>
      <c r="DE81" s="64"/>
      <c r="DG81" s="113"/>
      <c r="DH81" s="36"/>
      <c r="DI81" s="114"/>
      <c r="DJ81" s="34"/>
      <c r="DK81" s="34"/>
      <c r="DL81" s="32"/>
      <c r="DM81" s="34"/>
      <c r="DN81" s="34"/>
      <c r="DO81" s="34"/>
      <c r="DP81" s="115"/>
      <c r="DQ81" s="36"/>
      <c r="DR81" s="116"/>
      <c r="DS81" s="34"/>
      <c r="DT81" s="34"/>
      <c r="DU81" s="34"/>
      <c r="DV81" s="34"/>
    </row>
    <row r="82" spans="1:126" x14ac:dyDescent="0.25">
      <c r="A82" s="138" t="s">
        <v>285</v>
      </c>
      <c r="B82" s="138"/>
      <c r="C82" s="138"/>
      <c r="G82" s="2" t="s">
        <v>171</v>
      </c>
      <c r="H82" s="2">
        <f>H9</f>
        <v>240</v>
      </c>
      <c r="I82" s="112" t="s">
        <v>3</v>
      </c>
    </row>
    <row r="83" spans="1:126" x14ac:dyDescent="0.25">
      <c r="A83" s="138" t="s">
        <v>286</v>
      </c>
      <c r="B83" s="138"/>
      <c r="C83" s="138"/>
      <c r="G83" s="2" t="s">
        <v>287</v>
      </c>
      <c r="H83" s="2" t="s">
        <v>450</v>
      </c>
    </row>
    <row r="84" spans="1:126" x14ac:dyDescent="0.25">
      <c r="A84" s="138" t="s">
        <v>288</v>
      </c>
      <c r="B84" s="138"/>
      <c r="C84" s="138"/>
      <c r="G84" s="185" t="s">
        <v>289</v>
      </c>
      <c r="H84" s="2" t="s">
        <v>123</v>
      </c>
    </row>
    <row r="85" spans="1:126" x14ac:dyDescent="0.25">
      <c r="A85" s="138"/>
      <c r="B85" s="138"/>
      <c r="C85" s="138"/>
      <c r="G85" s="184" t="s">
        <v>300</v>
      </c>
      <c r="H85" s="184" t="s">
        <v>302</v>
      </c>
    </row>
    <row r="86" spans="1:126" x14ac:dyDescent="0.25">
      <c r="A86" s="138" t="s">
        <v>290</v>
      </c>
      <c r="B86" s="138"/>
      <c r="C86" s="138"/>
      <c r="G86" s="2" t="s">
        <v>442</v>
      </c>
      <c r="H86" s="2" t="s">
        <v>451</v>
      </c>
    </row>
    <row r="87" spans="1:126" x14ac:dyDescent="0.25">
      <c r="A87" s="138" t="s">
        <v>291</v>
      </c>
      <c r="B87" s="138"/>
      <c r="C87" s="138"/>
      <c r="G87" s="2" t="s">
        <v>292</v>
      </c>
      <c r="H87" s="2" t="s">
        <v>123</v>
      </c>
    </row>
    <row r="88" spans="1:126" x14ac:dyDescent="0.25">
      <c r="A88" s="138" t="s">
        <v>298</v>
      </c>
      <c r="B88" s="138"/>
      <c r="C88" s="138"/>
      <c r="G88" s="2" t="s">
        <v>266</v>
      </c>
      <c r="H88" s="2" t="s">
        <v>123</v>
      </c>
    </row>
    <row r="89" spans="1:126" x14ac:dyDescent="0.25">
      <c r="A89" s="138" t="s">
        <v>293</v>
      </c>
      <c r="B89" s="138"/>
      <c r="C89" s="138"/>
      <c r="G89" s="2" t="s">
        <v>294</v>
      </c>
      <c r="H89" s="2" t="s">
        <v>452</v>
      </c>
      <c r="I89" s="270" t="s">
        <v>128</v>
      </c>
    </row>
    <row r="90" spans="1:126" x14ac:dyDescent="0.25">
      <c r="A90" s="138" t="s">
        <v>438</v>
      </c>
      <c r="B90" s="138"/>
      <c r="C90" s="138"/>
      <c r="G90" s="2" t="s">
        <v>130</v>
      </c>
      <c r="H90" s="2" t="s">
        <v>453</v>
      </c>
      <c r="I90" s="112" t="s">
        <v>109</v>
      </c>
    </row>
    <row r="91" spans="1:126" ht="31.5" x14ac:dyDescent="0.25">
      <c r="A91" s="138"/>
      <c r="B91" s="138"/>
      <c r="C91" s="138"/>
      <c r="G91" s="480" t="s">
        <v>300</v>
      </c>
      <c r="H91" s="189" t="s">
        <v>440</v>
      </c>
    </row>
    <row r="92" spans="1:126" ht="31.5" x14ac:dyDescent="0.25">
      <c r="A92" s="138"/>
      <c r="B92" s="138"/>
      <c r="C92" s="138"/>
      <c r="G92" s="481"/>
      <c r="H92" s="190" t="s">
        <v>439</v>
      </c>
    </row>
    <row r="93" spans="1:126" x14ac:dyDescent="0.25">
      <c r="A93" s="138" t="s">
        <v>295</v>
      </c>
      <c r="B93" s="138"/>
      <c r="C93" s="138"/>
      <c r="G93" s="2" t="s">
        <v>296</v>
      </c>
      <c r="H93" s="2">
        <v>600</v>
      </c>
      <c r="I93" s="112" t="s">
        <v>109</v>
      </c>
    </row>
    <row r="94" spans="1:126" x14ac:dyDescent="0.25">
      <c r="A94" s="138" t="s">
        <v>295</v>
      </c>
      <c r="B94" s="138"/>
      <c r="C94" s="138"/>
      <c r="G94" s="2" t="s">
        <v>296</v>
      </c>
      <c r="H94" s="2" t="s">
        <v>297</v>
      </c>
      <c r="I94" s="112" t="s">
        <v>109</v>
      </c>
    </row>
    <row r="95" spans="1:126" x14ac:dyDescent="0.25">
      <c r="A95" s="138" t="s">
        <v>441</v>
      </c>
      <c r="B95" s="138"/>
      <c r="C95" s="138"/>
      <c r="G95" s="2" t="s">
        <v>130</v>
      </c>
      <c r="H95" s="2" t="s">
        <v>123</v>
      </c>
      <c r="I95" s="112" t="s">
        <v>109</v>
      </c>
    </row>
    <row r="96" spans="1:126" x14ac:dyDescent="0.25">
      <c r="A96" s="138" t="s">
        <v>298</v>
      </c>
      <c r="B96" s="138"/>
      <c r="C96" s="138"/>
      <c r="G96" s="183"/>
      <c r="H96" s="2" t="s">
        <v>123</v>
      </c>
    </row>
  </sheetData>
  <mergeCells count="169">
    <mergeCell ref="EV76:EV77"/>
    <mergeCell ref="EB7:EB8"/>
    <mergeCell ref="EC7:EC8"/>
    <mergeCell ref="ED7:ED8"/>
    <mergeCell ref="EB57:EB58"/>
    <mergeCell ref="EC57:EC58"/>
    <mergeCell ref="ED57:ED58"/>
    <mergeCell ref="EV26:EV27"/>
    <mergeCell ref="EV28:EV29"/>
    <mergeCell ref="EV30:EV31"/>
    <mergeCell ref="EV57:EV59"/>
    <mergeCell ref="EV60:EV61"/>
    <mergeCell ref="EV62:EV63"/>
    <mergeCell ref="EV64:EV65"/>
    <mergeCell ref="EV66:EV67"/>
    <mergeCell ref="EV68:EV69"/>
    <mergeCell ref="EV7:EV9"/>
    <mergeCell ref="EV10:EV11"/>
    <mergeCell ref="EV12:EV13"/>
    <mergeCell ref="EV14:EV15"/>
    <mergeCell ref="EV16:EV17"/>
    <mergeCell ref="EV24:EV25"/>
    <mergeCell ref="DW60:DW61"/>
    <mergeCell ref="DW62:DW65"/>
    <mergeCell ref="DW66:DW69"/>
    <mergeCell ref="DW70:DW71"/>
    <mergeCell ref="DW72:DW75"/>
    <mergeCell ref="EV70:EV71"/>
    <mergeCell ref="EV72:EV73"/>
    <mergeCell ref="EV74:EV75"/>
    <mergeCell ref="EK7:EP7"/>
    <mergeCell ref="EK8:EM9"/>
    <mergeCell ref="EN8:EP9"/>
    <mergeCell ref="DW7:DY8"/>
    <mergeCell ref="DZ7:DZ8"/>
    <mergeCell ref="EA7:EA8"/>
    <mergeCell ref="EV18:EV19"/>
    <mergeCell ref="EV20:EV21"/>
    <mergeCell ref="EV22:EV23"/>
    <mergeCell ref="DW9:DY9"/>
    <mergeCell ref="DW10:DW15"/>
    <mergeCell ref="DW16:DW17"/>
    <mergeCell ref="DW18:DW23"/>
    <mergeCell ref="DW24:DW25"/>
    <mergeCell ref="L18:L23"/>
    <mergeCell ref="L24:L25"/>
    <mergeCell ref="DW76:DW77"/>
    <mergeCell ref="EQ7:ET9"/>
    <mergeCell ref="DW57:DY58"/>
    <mergeCell ref="DZ57:DZ58"/>
    <mergeCell ref="EA57:EA58"/>
    <mergeCell ref="EE57:EJ57"/>
    <mergeCell ref="EK57:EP57"/>
    <mergeCell ref="EQ57:ET59"/>
    <mergeCell ref="EE58:EG59"/>
    <mergeCell ref="EH58:EJ59"/>
    <mergeCell ref="EK58:EM59"/>
    <mergeCell ref="EN58:EP59"/>
    <mergeCell ref="DW59:DY59"/>
    <mergeCell ref="DW26:DW31"/>
    <mergeCell ref="EE8:EG9"/>
    <mergeCell ref="EH8:EJ9"/>
    <mergeCell ref="EE7:EJ7"/>
    <mergeCell ref="L26:L31"/>
    <mergeCell ref="Z24:Z25"/>
    <mergeCell ref="Z26:Z31"/>
    <mergeCell ref="Z18:Z23"/>
    <mergeCell ref="L8:N8"/>
    <mergeCell ref="L9:N9"/>
    <mergeCell ref="L10:L15"/>
    <mergeCell ref="L16:L17"/>
    <mergeCell ref="BK8:BM8"/>
    <mergeCell ref="BK9:BM9"/>
    <mergeCell ref="BK10:BK15"/>
    <mergeCell ref="BK16:BK17"/>
    <mergeCell ref="CV16:CV17"/>
    <mergeCell ref="Z8:AB8"/>
    <mergeCell ref="Z9:AB9"/>
    <mergeCell ref="Z10:Z15"/>
    <mergeCell ref="Z16:Z17"/>
    <mergeCell ref="CV8:CX8"/>
    <mergeCell ref="CV10:CV15"/>
    <mergeCell ref="T8:T9"/>
    <mergeCell ref="U8:U9"/>
    <mergeCell ref="V8:V9"/>
    <mergeCell ref="W8:W9"/>
    <mergeCell ref="L76:L77"/>
    <mergeCell ref="L58:N58"/>
    <mergeCell ref="L59:N59"/>
    <mergeCell ref="Z60:Z61"/>
    <mergeCell ref="Z62:Z65"/>
    <mergeCell ref="Z66:Z69"/>
    <mergeCell ref="Z70:Z71"/>
    <mergeCell ref="T58:T59"/>
    <mergeCell ref="U58:U59"/>
    <mergeCell ref="V58:V59"/>
    <mergeCell ref="W58:W59"/>
    <mergeCell ref="L60:L61"/>
    <mergeCell ref="L62:L65"/>
    <mergeCell ref="L66:L69"/>
    <mergeCell ref="L70:L71"/>
    <mergeCell ref="L72:L75"/>
    <mergeCell ref="Z76:Z77"/>
    <mergeCell ref="Z58:AB58"/>
    <mergeCell ref="Z59:AB59"/>
    <mergeCell ref="Z72:Z75"/>
    <mergeCell ref="BK76:BK77"/>
    <mergeCell ref="BK58:BM58"/>
    <mergeCell ref="BK59:BM59"/>
    <mergeCell ref="CV60:CV61"/>
    <mergeCell ref="CV62:CV65"/>
    <mergeCell ref="CV66:CV69"/>
    <mergeCell ref="CV70:CV71"/>
    <mergeCell ref="BK60:BK61"/>
    <mergeCell ref="BK62:BK65"/>
    <mergeCell ref="BK66:BK69"/>
    <mergeCell ref="BK70:BK71"/>
    <mergeCell ref="BK72:BK75"/>
    <mergeCell ref="CV72:CV75"/>
    <mergeCell ref="CV76:CV77"/>
    <mergeCell ref="CV58:CX58"/>
    <mergeCell ref="CA58:CA59"/>
    <mergeCell ref="CD58:CD59"/>
    <mergeCell ref="CM58:CM59"/>
    <mergeCell ref="DQ58:DT59"/>
    <mergeCell ref="CV59:CX59"/>
    <mergeCell ref="CV9:CX9"/>
    <mergeCell ref="AN8:AN9"/>
    <mergeCell ref="AO8:AO9"/>
    <mergeCell ref="AP8:AP9"/>
    <mergeCell ref="AS8:AS9"/>
    <mergeCell ref="AI58:AI59"/>
    <mergeCell ref="AN58:AN59"/>
    <mergeCell ref="AO58:AO59"/>
    <mergeCell ref="AP58:AP59"/>
    <mergeCell ref="AS58:AS59"/>
    <mergeCell ref="BK18:BK23"/>
    <mergeCell ref="BK24:BK25"/>
    <mergeCell ref="BK26:BK31"/>
    <mergeCell ref="CV18:CV23"/>
    <mergeCell ref="CV24:CV25"/>
    <mergeCell ref="CV26:CV31"/>
    <mergeCell ref="BB58:BB59"/>
    <mergeCell ref="AI8:AI9"/>
    <mergeCell ref="DQ8:DT9"/>
    <mergeCell ref="G91:G92"/>
    <mergeCell ref="DB58:DB59"/>
    <mergeCell ref="DI58:DI59"/>
    <mergeCell ref="AT8:AV9"/>
    <mergeCell ref="BC8:BE9"/>
    <mergeCell ref="AT58:AV59"/>
    <mergeCell ref="BC58:BE59"/>
    <mergeCell ref="CE8:CG9"/>
    <mergeCell ref="CN8:CP9"/>
    <mergeCell ref="CE58:CG59"/>
    <mergeCell ref="CN58:CP59"/>
    <mergeCell ref="BB8:BB9"/>
    <mergeCell ref="CM8:CM9"/>
    <mergeCell ref="DF8:DF9"/>
    <mergeCell ref="DB8:DB9"/>
    <mergeCell ref="DI8:DI9"/>
    <mergeCell ref="BT8:BT9"/>
    <mergeCell ref="BY8:BY9"/>
    <mergeCell ref="CD8:CD9"/>
    <mergeCell ref="BZ8:BZ9"/>
    <mergeCell ref="CA8:CA9"/>
    <mergeCell ref="BT58:BT59"/>
    <mergeCell ref="BY58:BY59"/>
    <mergeCell ref="BZ58:BZ5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DJ67"/>
  <sheetViews>
    <sheetView topLeftCell="A52" zoomScale="95" zoomScaleNormal="95" workbookViewId="0"/>
  </sheetViews>
  <sheetFormatPr defaultRowHeight="15.75" x14ac:dyDescent="0.25"/>
  <cols>
    <col min="1" max="1" width="50.5703125" style="6" customWidth="1"/>
    <col min="2" max="2" width="11.140625" style="6" customWidth="1"/>
    <col min="3" max="3" width="40.42578125" style="6" customWidth="1"/>
    <col min="4" max="4" width="6.28515625" style="6" customWidth="1"/>
    <col min="5" max="8" width="9.140625" style="6"/>
    <col min="9" max="9" width="4.7109375" style="6" customWidth="1"/>
    <col min="10" max="11" width="8.7109375" style="6" customWidth="1"/>
    <col min="12" max="15" width="12.7109375" style="6" customWidth="1"/>
    <col min="16" max="24" width="8.7109375" style="6" customWidth="1"/>
    <col min="25" max="28" width="11.7109375" style="6" customWidth="1"/>
    <col min="29" max="29" width="8.7109375" style="6" customWidth="1"/>
    <col min="30" max="33" width="11.7109375" style="6" customWidth="1"/>
    <col min="34" max="37" width="8.7109375" style="6" customWidth="1"/>
    <col min="38" max="38" width="9.140625" style="6" customWidth="1"/>
    <col min="39" max="43" width="8.7109375" style="6" customWidth="1"/>
    <col min="44" max="44" width="10.7109375" style="6" customWidth="1"/>
    <col min="45" max="47" width="8.7109375" style="6" customWidth="1"/>
    <col min="48" max="48" width="10.7109375" style="6" customWidth="1"/>
    <col min="49" max="52" width="9.140625" style="6"/>
    <col min="53" max="55" width="11.5703125" style="6" customWidth="1"/>
    <col min="56" max="56" width="9.28515625" style="6" customWidth="1"/>
    <col min="57" max="59" width="11.5703125" style="6" customWidth="1"/>
    <col min="60" max="62" width="9.28515625" style="6" customWidth="1"/>
    <col min="63" max="65" width="9.140625" style="6"/>
    <col min="66" max="68" width="9" style="6" customWidth="1"/>
    <col min="69" max="69" width="9.140625" style="6"/>
    <col min="70" max="70" width="11.5703125" style="6" customWidth="1"/>
    <col min="71" max="72" width="9.140625" style="6"/>
    <col min="73" max="73" width="10.7109375" style="6" customWidth="1"/>
    <col min="74" max="76" width="9.140625" style="6"/>
    <col min="77" max="77" width="10.7109375" style="6" customWidth="1"/>
    <col min="78" max="78" width="9.140625" style="6"/>
    <col min="79" max="80" width="11.7109375" style="6" customWidth="1"/>
    <col min="81" max="81" width="9.140625" style="6"/>
    <col min="82" max="83" width="11.85546875" style="6" customWidth="1"/>
    <col min="84" max="84" width="9.140625" style="6"/>
    <col min="85" max="86" width="9.28515625" style="6" customWidth="1"/>
    <col min="87" max="87" width="9.140625" style="6"/>
    <col min="88" max="89" width="9.7109375" style="6" customWidth="1"/>
    <col min="90" max="93" width="9.140625" style="6"/>
    <col min="94" max="94" width="2.5703125" style="6" customWidth="1"/>
    <col min="95" max="95" width="6.140625" style="6" customWidth="1"/>
    <col min="96" max="96" width="2.7109375" style="6" customWidth="1"/>
    <col min="97" max="99" width="9.140625" style="6"/>
    <col min="100" max="106" width="10.7109375" style="6" customWidth="1"/>
    <col min="107" max="109" width="9.140625" style="6"/>
    <col min="110" max="110" width="2.85546875" style="6" customWidth="1"/>
    <col min="111" max="111" width="6.7109375" style="6" customWidth="1"/>
    <col min="112" max="112" width="2.7109375" style="6" customWidth="1"/>
    <col min="113" max="16384" width="9.140625" style="6"/>
  </cols>
  <sheetData>
    <row r="2" spans="1:4" x14ac:dyDescent="0.25">
      <c r="A2" s="7" t="s">
        <v>474</v>
      </c>
    </row>
    <row r="3" spans="1:4" x14ac:dyDescent="0.25">
      <c r="A3" s="6" t="s">
        <v>497</v>
      </c>
      <c r="B3" s="2" t="s">
        <v>498</v>
      </c>
      <c r="C3" s="2">
        <v>3.5</v>
      </c>
      <c r="D3" s="270" t="s">
        <v>127</v>
      </c>
    </row>
    <row r="4" spans="1:4" x14ac:dyDescent="0.25">
      <c r="A4" s="6" t="s">
        <v>499</v>
      </c>
      <c r="B4" s="2" t="s">
        <v>114</v>
      </c>
      <c r="C4" s="23" t="s">
        <v>123</v>
      </c>
      <c r="D4" s="270" t="s">
        <v>109</v>
      </c>
    </row>
    <row r="5" spans="1:4" x14ac:dyDescent="0.25">
      <c r="A5" s="6" t="s">
        <v>500</v>
      </c>
      <c r="B5" s="2" t="s">
        <v>174</v>
      </c>
      <c r="C5" s="4" t="s">
        <v>123</v>
      </c>
      <c r="D5" s="270" t="s">
        <v>109</v>
      </c>
    </row>
    <row r="6" spans="1:4" x14ac:dyDescent="0.25">
      <c r="A6" s="6" t="s">
        <v>487</v>
      </c>
      <c r="B6" s="2" t="s">
        <v>348</v>
      </c>
      <c r="C6" s="4" t="s">
        <v>123</v>
      </c>
      <c r="D6" s="270" t="s">
        <v>109</v>
      </c>
    </row>
    <row r="7" spans="1:4" x14ac:dyDescent="0.25">
      <c r="A7" s="6" t="s">
        <v>476</v>
      </c>
      <c r="B7" s="2" t="s">
        <v>306</v>
      </c>
      <c r="C7" s="2">
        <v>19</v>
      </c>
      <c r="D7" s="270" t="s">
        <v>109</v>
      </c>
    </row>
    <row r="8" spans="1:4" x14ac:dyDescent="0.25">
      <c r="A8" s="6" t="s">
        <v>477</v>
      </c>
      <c r="B8" s="2" t="s">
        <v>475</v>
      </c>
      <c r="C8" s="2">
        <v>8</v>
      </c>
      <c r="D8" s="270" t="s">
        <v>109</v>
      </c>
    </row>
    <row r="9" spans="1:4" x14ac:dyDescent="0.25">
      <c r="A9" s="6" t="s">
        <v>247</v>
      </c>
      <c r="B9" s="2" t="s">
        <v>2</v>
      </c>
      <c r="C9" s="2">
        <f>PLAT!D2</f>
        <v>25</v>
      </c>
      <c r="D9" s="270" t="s">
        <v>3</v>
      </c>
    </row>
    <row r="10" spans="1:4" x14ac:dyDescent="0.25">
      <c r="A10" s="112" t="s">
        <v>299</v>
      </c>
      <c r="B10" s="2" t="s">
        <v>7</v>
      </c>
      <c r="C10" s="2">
        <v>400</v>
      </c>
      <c r="D10" s="270" t="s">
        <v>3</v>
      </c>
    </row>
    <row r="11" spans="1:4" x14ac:dyDescent="0.25">
      <c r="A11" s="112" t="s">
        <v>103</v>
      </c>
      <c r="B11" s="2" t="s">
        <v>13</v>
      </c>
      <c r="C11" s="2">
        <v>1</v>
      </c>
      <c r="D11" s="270"/>
    </row>
    <row r="12" spans="1:4" x14ac:dyDescent="0.25">
      <c r="A12" s="112" t="s">
        <v>105</v>
      </c>
      <c r="B12" s="4" t="s">
        <v>355</v>
      </c>
      <c r="C12" s="4">
        <v>0.65</v>
      </c>
      <c r="D12" s="270"/>
    </row>
    <row r="13" spans="1:4" x14ac:dyDescent="0.25">
      <c r="A13" s="138" t="s">
        <v>269</v>
      </c>
      <c r="B13" s="2" t="s">
        <v>412</v>
      </c>
      <c r="C13" s="2">
        <v>50</v>
      </c>
      <c r="D13" s="270" t="s">
        <v>109</v>
      </c>
    </row>
    <row r="14" spans="1:4" x14ac:dyDescent="0.25">
      <c r="A14" s="138" t="s">
        <v>269</v>
      </c>
      <c r="B14" s="2" t="s">
        <v>413</v>
      </c>
      <c r="C14" s="2">
        <v>40</v>
      </c>
      <c r="D14" s="270" t="s">
        <v>109</v>
      </c>
    </row>
    <row r="15" spans="1:4" x14ac:dyDescent="0.25">
      <c r="A15" s="138" t="s">
        <v>269</v>
      </c>
      <c r="B15" s="2" t="s">
        <v>414</v>
      </c>
      <c r="C15" s="2">
        <v>30</v>
      </c>
      <c r="D15" s="270" t="s">
        <v>109</v>
      </c>
    </row>
    <row r="16" spans="1:4" x14ac:dyDescent="0.25">
      <c r="B16" s="4" t="s">
        <v>160</v>
      </c>
      <c r="C16" s="4" t="s">
        <v>354</v>
      </c>
      <c r="D16" s="270" t="s">
        <v>109</v>
      </c>
    </row>
    <row r="17" spans="1:114" x14ac:dyDescent="0.25">
      <c r="B17" s="4" t="s">
        <v>351</v>
      </c>
      <c r="C17" s="4" t="s">
        <v>359</v>
      </c>
      <c r="D17" s="270" t="s">
        <v>109</v>
      </c>
    </row>
    <row r="18" spans="1:114" x14ac:dyDescent="0.25">
      <c r="A18" s="6" t="s">
        <v>485</v>
      </c>
      <c r="B18" s="4" t="s">
        <v>478</v>
      </c>
      <c r="C18" s="4">
        <v>25</v>
      </c>
      <c r="D18" s="270" t="s">
        <v>109</v>
      </c>
    </row>
    <row r="19" spans="1:114" x14ac:dyDescent="0.25">
      <c r="B19" s="5"/>
      <c r="C19" s="5"/>
      <c r="D19" s="270"/>
    </row>
    <row r="20" spans="1:114" x14ac:dyDescent="0.25">
      <c r="A20" s="7" t="s">
        <v>479</v>
      </c>
      <c r="B20" s="117"/>
      <c r="C20" s="117"/>
      <c r="D20" s="270"/>
    </row>
    <row r="21" spans="1:114" x14ac:dyDescent="0.25">
      <c r="A21" s="6" t="s">
        <v>480</v>
      </c>
      <c r="B21" s="23"/>
      <c r="C21" s="23" t="s">
        <v>123</v>
      </c>
      <c r="D21" s="270"/>
      <c r="G21" s="5"/>
      <c r="H21" s="5"/>
    </row>
    <row r="22" spans="1:114" x14ac:dyDescent="0.25">
      <c r="B22" s="4" t="s">
        <v>361</v>
      </c>
      <c r="C22" s="4" t="s">
        <v>123</v>
      </c>
      <c r="D22" s="270"/>
      <c r="I22" s="5"/>
      <c r="J22" s="5"/>
    </row>
    <row r="23" spans="1:114" x14ac:dyDescent="0.25">
      <c r="A23" s="6" t="s">
        <v>481</v>
      </c>
      <c r="B23" s="4" t="s">
        <v>350</v>
      </c>
      <c r="C23" s="4" t="s">
        <v>356</v>
      </c>
      <c r="D23" s="270"/>
      <c r="S23" s="7" t="s">
        <v>493</v>
      </c>
    </row>
    <row r="24" spans="1:114" x14ac:dyDescent="0.25">
      <c r="A24" s="6" t="s">
        <v>482</v>
      </c>
      <c r="B24" s="4" t="s">
        <v>352</v>
      </c>
      <c r="C24" s="4" t="s">
        <v>360</v>
      </c>
      <c r="D24" s="270"/>
      <c r="I24" s="7" t="s">
        <v>486</v>
      </c>
      <c r="CV24" s="125" t="s">
        <v>514</v>
      </c>
    </row>
    <row r="25" spans="1:114" x14ac:dyDescent="0.25">
      <c r="B25" s="4" t="s">
        <v>353</v>
      </c>
      <c r="C25" s="4" t="s">
        <v>357</v>
      </c>
      <c r="D25" s="270"/>
      <c r="S25" s="6" t="s">
        <v>492</v>
      </c>
      <c r="AU25" s="6" t="s">
        <v>494</v>
      </c>
      <c r="BU25" s="6" t="s">
        <v>495</v>
      </c>
    </row>
    <row r="26" spans="1:114" ht="15.75" customHeight="1" x14ac:dyDescent="0.25">
      <c r="B26" s="110"/>
      <c r="C26" s="110"/>
      <c r="D26" s="270"/>
      <c r="I26" s="447" t="s">
        <v>173</v>
      </c>
      <c r="J26" s="448"/>
      <c r="K26" s="449"/>
      <c r="L26" s="8" t="s">
        <v>176</v>
      </c>
      <c r="M26" s="9" t="s">
        <v>178</v>
      </c>
      <c r="N26" s="9" t="s">
        <v>340</v>
      </c>
      <c r="O26" s="9" t="s">
        <v>341</v>
      </c>
      <c r="P26" s="11" t="s">
        <v>184</v>
      </c>
      <c r="Q26" s="11" t="s">
        <v>185</v>
      </c>
      <c r="S26" s="443" t="s">
        <v>342</v>
      </c>
      <c r="T26" s="8" t="s">
        <v>343</v>
      </c>
      <c r="U26" s="8" t="s">
        <v>114</v>
      </c>
      <c r="V26" s="8" t="s">
        <v>174</v>
      </c>
      <c r="W26" s="8" t="s">
        <v>348</v>
      </c>
      <c r="X26" s="8" t="s">
        <v>187</v>
      </c>
      <c r="Y26" s="426" t="s">
        <v>345</v>
      </c>
      <c r="Z26" s="426"/>
      <c r="AA26" s="426"/>
      <c r="AB26" s="426"/>
      <c r="AC26" s="8" t="s">
        <v>344</v>
      </c>
      <c r="AD26" s="435" t="s">
        <v>347</v>
      </c>
      <c r="AE26" s="435"/>
      <c r="AF26" s="435"/>
      <c r="AG26" s="435"/>
      <c r="AH26" s="8" t="s">
        <v>346</v>
      </c>
      <c r="AI26" s="8" t="s">
        <v>160</v>
      </c>
      <c r="AJ26" s="8" t="s">
        <v>351</v>
      </c>
      <c r="AK26" s="504" t="s">
        <v>370</v>
      </c>
      <c r="AL26" s="505"/>
      <c r="AM26" s="506"/>
      <c r="AN26" s="426" t="s">
        <v>353</v>
      </c>
      <c r="AO26" s="426" t="str">
        <f>$B$28</f>
        <v>ρg</v>
      </c>
      <c r="AP26" s="11" t="s">
        <v>126</v>
      </c>
      <c r="AQ26" s="426" t="s">
        <v>277</v>
      </c>
      <c r="AR26" s="443" t="s">
        <v>496</v>
      </c>
      <c r="AS26" s="10" t="s">
        <v>139</v>
      </c>
      <c r="AU26" s="443" t="s">
        <v>342</v>
      </c>
      <c r="AV26" s="8" t="s">
        <v>343</v>
      </c>
      <c r="AW26" s="8" t="s">
        <v>114</v>
      </c>
      <c r="AX26" s="8" t="s">
        <v>174</v>
      </c>
      <c r="AY26" s="8" t="s">
        <v>348</v>
      </c>
      <c r="AZ26" s="8" t="s">
        <v>187</v>
      </c>
      <c r="BA26" s="447" t="s">
        <v>345</v>
      </c>
      <c r="BB26" s="448"/>
      <c r="BC26" s="449"/>
      <c r="BD26" s="8" t="s">
        <v>344</v>
      </c>
      <c r="BE26" s="507" t="s">
        <v>347</v>
      </c>
      <c r="BF26" s="508"/>
      <c r="BG26" s="509"/>
      <c r="BH26" s="8" t="s">
        <v>346</v>
      </c>
      <c r="BI26" s="8" t="s">
        <v>160</v>
      </c>
      <c r="BJ26" s="8" t="s">
        <v>351</v>
      </c>
      <c r="BK26" s="504" t="s">
        <v>370</v>
      </c>
      <c r="BL26" s="505"/>
      <c r="BM26" s="506"/>
      <c r="BN26" s="426" t="s">
        <v>353</v>
      </c>
      <c r="BO26" s="426" t="str">
        <f>$B$28</f>
        <v>ρg</v>
      </c>
      <c r="BP26" s="11" t="s">
        <v>126</v>
      </c>
      <c r="BQ26" s="426" t="s">
        <v>277</v>
      </c>
      <c r="BR26" s="443" t="s">
        <v>496</v>
      </c>
      <c r="BS26" s="10" t="s">
        <v>139</v>
      </c>
      <c r="BU26" s="443" t="s">
        <v>342</v>
      </c>
      <c r="BV26" s="8" t="s">
        <v>343</v>
      </c>
      <c r="BW26" s="8" t="s">
        <v>114</v>
      </c>
      <c r="BX26" s="8" t="s">
        <v>174</v>
      </c>
      <c r="BY26" s="8" t="s">
        <v>348</v>
      </c>
      <c r="BZ26" s="8" t="s">
        <v>187</v>
      </c>
      <c r="CA26" s="447" t="s">
        <v>345</v>
      </c>
      <c r="CB26" s="449"/>
      <c r="CC26" s="8" t="s">
        <v>344</v>
      </c>
      <c r="CD26" s="507" t="s">
        <v>347</v>
      </c>
      <c r="CE26" s="509"/>
      <c r="CF26" s="8" t="s">
        <v>346</v>
      </c>
      <c r="CG26" s="8" t="s">
        <v>160</v>
      </c>
      <c r="CH26" s="8" t="s">
        <v>351</v>
      </c>
      <c r="CI26" s="504" t="s">
        <v>370</v>
      </c>
      <c r="CJ26" s="505"/>
      <c r="CK26" s="506"/>
      <c r="CL26" s="426" t="s">
        <v>353</v>
      </c>
      <c r="CM26" s="426" t="str">
        <f>$B$28</f>
        <v>ρg</v>
      </c>
      <c r="CN26" s="11" t="s">
        <v>126</v>
      </c>
      <c r="CO26" s="426" t="s">
        <v>277</v>
      </c>
      <c r="CP26" s="482" t="s">
        <v>496</v>
      </c>
      <c r="CQ26" s="483"/>
      <c r="CR26" s="484"/>
      <c r="CS26" s="10" t="s">
        <v>139</v>
      </c>
      <c r="CV26" s="443" t="s">
        <v>342</v>
      </c>
      <c r="CW26" s="8" t="s">
        <v>343</v>
      </c>
      <c r="CX26" s="8" t="s">
        <v>114</v>
      </c>
      <c r="CY26" s="8" t="s">
        <v>174</v>
      </c>
      <c r="CZ26" s="8" t="s">
        <v>348</v>
      </c>
      <c r="DA26" s="8" t="s">
        <v>187</v>
      </c>
      <c r="DB26" s="426" t="s">
        <v>353</v>
      </c>
      <c r="DC26" s="426" t="str">
        <f>$B$28</f>
        <v>ρg</v>
      </c>
      <c r="DD26" s="11" t="s">
        <v>126</v>
      </c>
      <c r="DE26" s="426" t="s">
        <v>277</v>
      </c>
      <c r="DF26" s="482" t="s">
        <v>496</v>
      </c>
      <c r="DG26" s="483"/>
      <c r="DH26" s="484"/>
      <c r="DI26" s="10" t="s">
        <v>139</v>
      </c>
      <c r="DJ26" s="458" t="s">
        <v>504</v>
      </c>
    </row>
    <row r="27" spans="1:114" x14ac:dyDescent="0.25">
      <c r="A27" s="7" t="s">
        <v>483</v>
      </c>
      <c r="B27" s="117"/>
      <c r="C27" s="117"/>
      <c r="D27" s="270"/>
      <c r="I27" s="450" t="s">
        <v>17</v>
      </c>
      <c r="J27" s="451"/>
      <c r="K27" s="452"/>
      <c r="L27" s="12" t="s">
        <v>100</v>
      </c>
      <c r="M27" s="13" t="s">
        <v>100</v>
      </c>
      <c r="N27" s="13" t="s">
        <v>305</v>
      </c>
      <c r="O27" s="13" t="s">
        <v>305</v>
      </c>
      <c r="P27" s="14" t="s">
        <v>190</v>
      </c>
      <c r="Q27" s="14" t="s">
        <v>190</v>
      </c>
      <c r="S27" s="444"/>
      <c r="T27" s="12" t="s">
        <v>100</v>
      </c>
      <c r="U27" s="12" t="s">
        <v>100</v>
      </c>
      <c r="V27" s="12" t="s">
        <v>100</v>
      </c>
      <c r="W27" s="12" t="s">
        <v>100</v>
      </c>
      <c r="X27" s="12" t="s">
        <v>100</v>
      </c>
      <c r="Y27" s="427" t="s">
        <v>368</v>
      </c>
      <c r="Z27" s="427"/>
      <c r="AA27" s="427"/>
      <c r="AB27" s="427"/>
      <c r="AC27" s="12" t="s">
        <v>369</v>
      </c>
      <c r="AD27" s="436" t="s">
        <v>368</v>
      </c>
      <c r="AE27" s="436"/>
      <c r="AF27" s="436"/>
      <c r="AG27" s="436"/>
      <c r="AH27" s="12" t="s">
        <v>305</v>
      </c>
      <c r="AI27" s="12" t="s">
        <v>100</v>
      </c>
      <c r="AJ27" s="12" t="s">
        <v>100</v>
      </c>
      <c r="AK27" s="191" t="s">
        <v>349</v>
      </c>
      <c r="AL27" s="191" t="s">
        <v>350</v>
      </c>
      <c r="AM27" s="191" t="s">
        <v>352</v>
      </c>
      <c r="AN27" s="427"/>
      <c r="AO27" s="427"/>
      <c r="AP27" s="12" t="s">
        <v>434</v>
      </c>
      <c r="AQ27" s="427"/>
      <c r="AR27" s="444"/>
      <c r="AS27" s="12" t="s">
        <v>434</v>
      </c>
      <c r="AU27" s="444"/>
      <c r="AV27" s="12" t="s">
        <v>100</v>
      </c>
      <c r="AW27" s="12" t="s">
        <v>100</v>
      </c>
      <c r="AX27" s="12" t="s">
        <v>100</v>
      </c>
      <c r="AY27" s="12" t="s">
        <v>100</v>
      </c>
      <c r="AZ27" s="12" t="s">
        <v>100</v>
      </c>
      <c r="BA27" s="450" t="s">
        <v>368</v>
      </c>
      <c r="BB27" s="451"/>
      <c r="BC27" s="452"/>
      <c r="BD27" s="12" t="s">
        <v>369</v>
      </c>
      <c r="BE27" s="510" t="s">
        <v>368</v>
      </c>
      <c r="BF27" s="511"/>
      <c r="BG27" s="512"/>
      <c r="BH27" s="12" t="s">
        <v>305</v>
      </c>
      <c r="BI27" s="12" t="s">
        <v>100</v>
      </c>
      <c r="BJ27" s="12" t="s">
        <v>100</v>
      </c>
      <c r="BK27" s="191" t="s">
        <v>349</v>
      </c>
      <c r="BL27" s="191" t="s">
        <v>350</v>
      </c>
      <c r="BM27" s="191" t="s">
        <v>352</v>
      </c>
      <c r="BN27" s="427"/>
      <c r="BO27" s="427"/>
      <c r="BP27" s="12" t="s">
        <v>434</v>
      </c>
      <c r="BQ27" s="427"/>
      <c r="BR27" s="444"/>
      <c r="BS27" s="12" t="s">
        <v>434</v>
      </c>
      <c r="BU27" s="444"/>
      <c r="BV27" s="12" t="s">
        <v>100</v>
      </c>
      <c r="BW27" s="12" t="s">
        <v>100</v>
      </c>
      <c r="BX27" s="12" t="s">
        <v>100</v>
      </c>
      <c r="BY27" s="12" t="s">
        <v>100</v>
      </c>
      <c r="BZ27" s="12" t="s">
        <v>100</v>
      </c>
      <c r="CA27" s="450" t="s">
        <v>368</v>
      </c>
      <c r="CB27" s="452"/>
      <c r="CC27" s="12" t="s">
        <v>369</v>
      </c>
      <c r="CD27" s="510" t="s">
        <v>368</v>
      </c>
      <c r="CE27" s="512"/>
      <c r="CF27" s="12" t="s">
        <v>305</v>
      </c>
      <c r="CG27" s="12" t="s">
        <v>100</v>
      </c>
      <c r="CH27" s="12" t="s">
        <v>100</v>
      </c>
      <c r="CI27" s="191" t="s">
        <v>349</v>
      </c>
      <c r="CJ27" s="191" t="s">
        <v>350</v>
      </c>
      <c r="CK27" s="191" t="s">
        <v>352</v>
      </c>
      <c r="CL27" s="427"/>
      <c r="CM27" s="427"/>
      <c r="CN27" s="12" t="s">
        <v>434</v>
      </c>
      <c r="CO27" s="427"/>
      <c r="CP27" s="485"/>
      <c r="CQ27" s="486"/>
      <c r="CR27" s="487"/>
      <c r="CS27" s="12" t="s">
        <v>434</v>
      </c>
      <c r="CV27" s="444"/>
      <c r="CW27" s="12" t="s">
        <v>100</v>
      </c>
      <c r="CX27" s="12" t="s">
        <v>100</v>
      </c>
      <c r="CY27" s="12" t="s">
        <v>100</v>
      </c>
      <c r="CZ27" s="12" t="s">
        <v>100</v>
      </c>
      <c r="DA27" s="12" t="s">
        <v>100</v>
      </c>
      <c r="DB27" s="427"/>
      <c r="DC27" s="427"/>
      <c r="DD27" s="12" t="s">
        <v>434</v>
      </c>
      <c r="DE27" s="427"/>
      <c r="DF27" s="485"/>
      <c r="DG27" s="486"/>
      <c r="DH27" s="487"/>
      <c r="DI27" s="12" t="s">
        <v>434</v>
      </c>
      <c r="DJ27" s="458"/>
    </row>
    <row r="28" spans="1:114" x14ac:dyDescent="0.25">
      <c r="A28" s="138" t="s">
        <v>273</v>
      </c>
      <c r="B28" s="4" t="s">
        <v>417</v>
      </c>
      <c r="C28" s="4" t="s">
        <v>358</v>
      </c>
      <c r="D28" s="270" t="s">
        <v>128</v>
      </c>
      <c r="I28" s="453" t="s">
        <v>20</v>
      </c>
      <c r="J28" s="80" t="s">
        <v>202</v>
      </c>
      <c r="K28" s="99"/>
      <c r="L28" s="17"/>
      <c r="M28" s="17"/>
      <c r="N28" s="16"/>
      <c r="O28" s="58"/>
      <c r="P28" s="16"/>
      <c r="Q28" s="16"/>
      <c r="S28" s="453" t="s">
        <v>362</v>
      </c>
      <c r="T28" s="81"/>
      <c r="U28" s="15"/>
      <c r="V28" s="79"/>
      <c r="W28" s="15"/>
      <c r="X28" s="79"/>
      <c r="Y28" s="126" t="s">
        <v>364</v>
      </c>
      <c r="Z28" s="271" t="s">
        <v>365</v>
      </c>
      <c r="AA28" s="126" t="s">
        <v>366</v>
      </c>
      <c r="AB28" s="272" t="s">
        <v>367</v>
      </c>
      <c r="AC28" s="15"/>
      <c r="AD28" s="136" t="s">
        <v>364</v>
      </c>
      <c r="AE28" s="126" t="s">
        <v>365</v>
      </c>
      <c r="AF28" s="271" t="s">
        <v>366</v>
      </c>
      <c r="AG28" s="126" t="s">
        <v>367</v>
      </c>
      <c r="AH28" s="79"/>
      <c r="AI28" s="15"/>
      <c r="AJ28" s="79"/>
      <c r="AK28" s="15"/>
      <c r="AL28" s="79"/>
      <c r="AM28" s="15"/>
      <c r="AN28" s="79"/>
      <c r="AO28" s="15"/>
      <c r="AP28" s="79"/>
      <c r="AQ28" s="15"/>
      <c r="AR28" s="79"/>
      <c r="AS28" s="15"/>
      <c r="AU28" s="453" t="s">
        <v>375</v>
      </c>
      <c r="AV28" s="81"/>
      <c r="AW28" s="15"/>
      <c r="AX28" s="79"/>
      <c r="AY28" s="15"/>
      <c r="AZ28" s="79"/>
      <c r="BA28" s="126" t="s">
        <v>379</v>
      </c>
      <c r="BB28" s="271" t="s">
        <v>380</v>
      </c>
      <c r="BC28" s="126" t="s">
        <v>381</v>
      </c>
      <c r="BD28" s="15"/>
      <c r="BE28" s="126" t="s">
        <v>379</v>
      </c>
      <c r="BF28" s="271" t="s">
        <v>380</v>
      </c>
      <c r="BG28" s="126" t="s">
        <v>381</v>
      </c>
      <c r="BH28" s="79"/>
      <c r="BI28" s="15"/>
      <c r="BJ28" s="79"/>
      <c r="BK28" s="15"/>
      <c r="BL28" s="79"/>
      <c r="BM28" s="15"/>
      <c r="BN28" s="79"/>
      <c r="BO28" s="15"/>
      <c r="BP28" s="79"/>
      <c r="BQ28" s="15"/>
      <c r="BR28" s="79"/>
      <c r="BS28" s="15"/>
      <c r="BU28" s="453" t="s">
        <v>395</v>
      </c>
      <c r="BV28" s="81"/>
      <c r="BW28" s="15"/>
      <c r="BX28" s="79"/>
      <c r="BY28" s="15"/>
      <c r="BZ28" s="79"/>
      <c r="CA28" s="126" t="s">
        <v>400</v>
      </c>
      <c r="CB28" s="271" t="s">
        <v>401</v>
      </c>
      <c r="CC28" s="80"/>
      <c r="CD28" s="126" t="s">
        <v>400</v>
      </c>
      <c r="CE28" s="126" t="s">
        <v>401</v>
      </c>
      <c r="CF28" s="79"/>
      <c r="CG28" s="15"/>
      <c r="CH28" s="79"/>
      <c r="CI28" s="15"/>
      <c r="CJ28" s="79"/>
      <c r="CK28" s="15"/>
      <c r="CL28" s="79"/>
      <c r="CM28" s="15"/>
      <c r="CN28" s="79"/>
      <c r="CO28" s="15"/>
      <c r="CP28" s="79"/>
      <c r="CQ28" s="79"/>
      <c r="CR28" s="79"/>
      <c r="CS28" s="15"/>
      <c r="CV28" s="453" t="s">
        <v>395</v>
      </c>
      <c r="CW28" s="81"/>
      <c r="CX28" s="15"/>
      <c r="CY28" s="79"/>
      <c r="CZ28" s="15"/>
      <c r="DA28" s="15"/>
      <c r="DB28" s="79"/>
      <c r="DC28" s="15"/>
      <c r="DD28" s="79"/>
      <c r="DE28" s="15"/>
      <c r="DF28" s="79"/>
      <c r="DG28" s="79"/>
      <c r="DH28" s="79"/>
      <c r="DI28" s="15"/>
      <c r="DJ28" s="513" t="s">
        <v>515</v>
      </c>
    </row>
    <row r="29" spans="1:114" x14ac:dyDescent="0.25">
      <c r="A29" s="138" t="s">
        <v>484</v>
      </c>
      <c r="B29" s="4" t="s">
        <v>126</v>
      </c>
      <c r="C29" s="4" t="s">
        <v>415</v>
      </c>
      <c r="D29" s="270" t="s">
        <v>128</v>
      </c>
      <c r="I29" s="454"/>
      <c r="J29" s="118" t="s">
        <v>194</v>
      </c>
      <c r="K29" s="106">
        <v>1.5</v>
      </c>
      <c r="L29" s="25">
        <f>'penulangan BALOK'!O11</f>
        <v>300</v>
      </c>
      <c r="M29" s="25">
        <f>'penulangan BALOK'!P11</f>
        <v>200</v>
      </c>
      <c r="N29" s="59">
        <f>'QE &amp; MOMEN'!AA22</f>
        <v>2.9250000000000003</v>
      </c>
      <c r="O29" s="58">
        <f>N29</f>
        <v>2.9250000000000003</v>
      </c>
      <c r="P29" s="59">
        <f>'QE &amp; MOMEN'!AB22</f>
        <v>11.700000000000001</v>
      </c>
      <c r="Q29" s="59">
        <f>'QE &amp; MOMEN'!AC22</f>
        <v>11.700000000000001</v>
      </c>
      <c r="S29" s="455"/>
      <c r="T29" s="47">
        <f>$C$3*1000</f>
        <v>3500</v>
      </c>
      <c r="U29" s="26">
        <v>300</v>
      </c>
      <c r="V29" s="42">
        <v>250</v>
      </c>
      <c r="W29" s="26">
        <f>U29*V29</f>
        <v>75000</v>
      </c>
      <c r="X29" s="42">
        <f>$C$13</f>
        <v>50</v>
      </c>
      <c r="Y29" s="24">
        <f>Q53</f>
        <v>35.257500000000007</v>
      </c>
      <c r="Z29" s="27">
        <f>P55</f>
        <v>34.678000000000004</v>
      </c>
      <c r="AA29" s="24">
        <f>Q37</f>
        <v>4.5314999999999994</v>
      </c>
      <c r="AB29" s="27">
        <f>P39</f>
        <v>49.342000000000006</v>
      </c>
      <c r="AC29" s="24">
        <f>SUM(Y29:AB29)</f>
        <v>123.80900000000003</v>
      </c>
      <c r="AD29" s="27">
        <f>O53</f>
        <v>17.628750000000004</v>
      </c>
      <c r="AE29" s="24">
        <f>N55</f>
        <v>20.228833333333334</v>
      </c>
      <c r="AF29" s="27">
        <f>O37</f>
        <v>1.1328749999999999</v>
      </c>
      <c r="AG29" s="24">
        <f>N39</f>
        <v>28.782833333333336</v>
      </c>
      <c r="AH29" s="27">
        <f>SUM(AD29:AG29)</f>
        <v>67.773291666666665</v>
      </c>
      <c r="AI29" s="24">
        <f>(AH29*1000000)/(AC29*1000)</f>
        <v>547.40197939298969</v>
      </c>
      <c r="AJ29" s="42">
        <f>15+0.03*V29</f>
        <v>22.5</v>
      </c>
      <c r="AK29" s="43">
        <f>X29/V29</f>
        <v>0.2</v>
      </c>
      <c r="AL29" s="28">
        <f>(AC29*1000)/($C$12*W29*0.85*$C$9)</f>
        <v>0.11951396681749625</v>
      </c>
      <c r="AM29" s="43">
        <f>((AC29*1000)/($C$12*W29*0.85*$C$9))*(AI29/V29)</f>
        <v>0.26168872800402215</v>
      </c>
      <c r="AN29" s="42">
        <v>2.9000000000000001E-2</v>
      </c>
      <c r="AO29" s="26">
        <f>AN29*$C$11</f>
        <v>2.9000000000000001E-2</v>
      </c>
      <c r="AP29" s="42">
        <f>AO29*U29*V29</f>
        <v>2175.0000000000005</v>
      </c>
      <c r="AQ29" s="43">
        <f>AP29/($C$7^2*3.14/4)</f>
        <v>7.6750710164617058</v>
      </c>
      <c r="AR29" s="42">
        <f>ROUNDUP(AQ29,0)</f>
        <v>8</v>
      </c>
      <c r="AS29" s="26">
        <f>($C$7^2*3.14/4)*AR29</f>
        <v>2267.08</v>
      </c>
      <c r="AU29" s="455"/>
      <c r="AV29" s="47">
        <f>$C$3*1000</f>
        <v>3500</v>
      </c>
      <c r="AW29" s="26">
        <v>200</v>
      </c>
      <c r="AX29" s="42">
        <v>250</v>
      </c>
      <c r="AY29" s="26">
        <f>AW29*AX29</f>
        <v>50000</v>
      </c>
      <c r="AZ29" s="42">
        <f>$C$13</f>
        <v>50</v>
      </c>
      <c r="BA29" s="24">
        <f>P53</f>
        <v>35.257500000000007</v>
      </c>
      <c r="BB29" s="27">
        <f>Q29</f>
        <v>11.700000000000001</v>
      </c>
      <c r="BC29" s="24">
        <f>P31</f>
        <v>33.910500000000006</v>
      </c>
      <c r="BD29" s="24">
        <f>SUM(BA29:BC29)</f>
        <v>80.868000000000023</v>
      </c>
      <c r="BE29" s="27">
        <f>N53</f>
        <v>17.628750000000004</v>
      </c>
      <c r="BF29" s="24">
        <f>O29</f>
        <v>2.9250000000000003</v>
      </c>
      <c r="BG29" s="24">
        <f>N31</f>
        <v>19.781125000000003</v>
      </c>
      <c r="BH29" s="27">
        <f>SUM(BE29:BG29)</f>
        <v>40.334875000000011</v>
      </c>
      <c r="BI29" s="24">
        <f>(BH29*1000000)/(BD29*1000)</f>
        <v>498.77423702824348</v>
      </c>
      <c r="BJ29" s="42">
        <f>15+0.03*AX29</f>
        <v>22.5</v>
      </c>
      <c r="BK29" s="43">
        <f>AZ29/AX29</f>
        <v>0.2</v>
      </c>
      <c r="BL29" s="28">
        <f>(BD29*1000)/($C$12*AY29*0.85*$C$9)</f>
        <v>0.11709393665158375</v>
      </c>
      <c r="BM29" s="43">
        <f>((BD29*1000)/($C$12*AY29*0.85*$C$9))*(BI29/AX29)</f>
        <v>0.23361375565610865</v>
      </c>
      <c r="BN29" s="42">
        <v>2.8000000000000001E-2</v>
      </c>
      <c r="BO29" s="26">
        <f>BN29*$C$11</f>
        <v>2.8000000000000001E-2</v>
      </c>
      <c r="BP29" s="42">
        <f>BO29*AW29*AX29</f>
        <v>1400.0000000000002</v>
      </c>
      <c r="BQ29" s="43">
        <f>BP29/($C$7^2*3.14/4)</f>
        <v>4.9402755968029366</v>
      </c>
      <c r="BR29" s="42">
        <f>ROUNDUP(BQ29,0)</f>
        <v>5</v>
      </c>
      <c r="BS29" s="26">
        <f>($C$7^2*3.14/4)*BR29</f>
        <v>1416.925</v>
      </c>
      <c r="BU29" s="455"/>
      <c r="BV29" s="47">
        <f>$C$3*1000</f>
        <v>3500</v>
      </c>
      <c r="BW29" s="26">
        <v>300</v>
      </c>
      <c r="BX29" s="42">
        <v>150</v>
      </c>
      <c r="BY29" s="26">
        <f>BW29*BX29</f>
        <v>45000</v>
      </c>
      <c r="BZ29" s="42">
        <f>$C$15</f>
        <v>30</v>
      </c>
      <c r="CA29" s="24">
        <f>P51</f>
        <v>8.7345000000000006</v>
      </c>
      <c r="CB29" s="27">
        <f>P29</f>
        <v>11.700000000000001</v>
      </c>
      <c r="CC29" s="24">
        <f>SUM(CA29:CB29)</f>
        <v>20.4345</v>
      </c>
      <c r="CD29" s="27">
        <f>N51</f>
        <v>4.3672500000000003</v>
      </c>
      <c r="CE29" s="24">
        <f>N29</f>
        <v>2.9250000000000003</v>
      </c>
      <c r="CF29" s="27">
        <f>SUM(CD29:CE29)</f>
        <v>7.292250000000001</v>
      </c>
      <c r="CG29" s="24">
        <f>(CF29*1000000)/(CC29*1000)</f>
        <v>356.85972252807755</v>
      </c>
      <c r="CH29" s="42">
        <f>15+0.03*BX29</f>
        <v>19.5</v>
      </c>
      <c r="CI29" s="43">
        <f>BZ29/BX29</f>
        <v>0.2</v>
      </c>
      <c r="CJ29" s="28">
        <f>(CC29*1000)/($C$12*BY29*0.85*$C$9)</f>
        <v>3.2876018099547509E-2</v>
      </c>
      <c r="CK29" s="43">
        <f>((CC29*1000)/($C$12*BY29*0.85*$C$9))*(CG29/BX29)</f>
        <v>7.8214177978883873E-2</v>
      </c>
      <c r="CL29" s="42">
        <v>6.0000000000000001E-3</v>
      </c>
      <c r="CM29" s="26">
        <f>CL29*$C$11</f>
        <v>6.0000000000000001E-3</v>
      </c>
      <c r="CN29" s="42">
        <f>CM29*BW29*BX29</f>
        <v>270</v>
      </c>
      <c r="CO29" s="43">
        <f>CN29/($C$7^2*3.14/4)</f>
        <v>0.95276743652628049</v>
      </c>
      <c r="CP29" s="274">
        <f>ROUNDUP(CO29,0)</f>
        <v>1</v>
      </c>
      <c r="CQ29" s="273">
        <f>MAX(CP29,CR29)</f>
        <v>4</v>
      </c>
      <c r="CR29" s="274">
        <v>4</v>
      </c>
      <c r="CS29" s="26">
        <f>($C$7^2*3.14/4)*CQ29</f>
        <v>1133.54</v>
      </c>
      <c r="CV29" s="455"/>
      <c r="CW29" s="47">
        <f>$C$3*1000</f>
        <v>3500</v>
      </c>
      <c r="CX29" s="26">
        <v>300</v>
      </c>
      <c r="CY29" s="42">
        <v>150</v>
      </c>
      <c r="CZ29" s="26">
        <f>CX29*CY29</f>
        <v>45000</v>
      </c>
      <c r="DA29" s="26">
        <f>$C$15</f>
        <v>30</v>
      </c>
      <c r="DB29" s="42">
        <v>6.0000000000000001E-3</v>
      </c>
      <c r="DC29" s="26">
        <f>DB29*$C$11</f>
        <v>6.0000000000000001E-3</v>
      </c>
      <c r="DD29" s="42">
        <f>$CN$29</f>
        <v>270</v>
      </c>
      <c r="DE29" s="43">
        <f>DD29/($C$7^2*3.14/4)</f>
        <v>0.95276743652628049</v>
      </c>
      <c r="DF29" s="274">
        <f>ROUNDUP(DE29,0)</f>
        <v>1</v>
      </c>
      <c r="DG29" s="273">
        <f>MAX(DF29,DH29)</f>
        <v>4</v>
      </c>
      <c r="DH29" s="274">
        <v>4</v>
      </c>
      <c r="DI29" s="26">
        <f>($C$7^2*3.14/4)*DG29</f>
        <v>1133.54</v>
      </c>
      <c r="DJ29" s="513"/>
    </row>
    <row r="30" spans="1:114" x14ac:dyDescent="0.25">
      <c r="A30" s="138" t="s">
        <v>488</v>
      </c>
      <c r="B30" s="2" t="s">
        <v>277</v>
      </c>
      <c r="C30" s="2" t="s">
        <v>447</v>
      </c>
      <c r="D30" s="6" t="s">
        <v>491</v>
      </c>
      <c r="I30" s="454"/>
      <c r="J30" s="119" t="s">
        <v>197</v>
      </c>
      <c r="K30" s="99"/>
      <c r="L30" s="56"/>
      <c r="M30" s="56"/>
      <c r="N30" s="16"/>
      <c r="O30" s="82"/>
      <c r="P30" s="16"/>
      <c r="Q30" s="16"/>
      <c r="S30" s="453" t="s">
        <v>363</v>
      </c>
      <c r="T30" s="81"/>
      <c r="U30" s="15"/>
      <c r="V30" s="79"/>
      <c r="W30" s="15"/>
      <c r="X30" s="79"/>
      <c r="Y30" s="126" t="s">
        <v>371</v>
      </c>
      <c r="Z30" s="271" t="s">
        <v>372</v>
      </c>
      <c r="AA30" s="126" t="s">
        <v>373</v>
      </c>
      <c r="AB30" s="272" t="s">
        <v>374</v>
      </c>
      <c r="AC30" s="15"/>
      <c r="AD30" s="136" t="s">
        <v>371</v>
      </c>
      <c r="AE30" s="126" t="s">
        <v>372</v>
      </c>
      <c r="AF30" s="271" t="s">
        <v>373</v>
      </c>
      <c r="AG30" s="126" t="s">
        <v>374</v>
      </c>
      <c r="AH30" s="79"/>
      <c r="AI30" s="15"/>
      <c r="AJ30" s="79"/>
      <c r="AK30" s="15"/>
      <c r="AL30" s="79"/>
      <c r="AM30" s="15"/>
      <c r="AN30" s="79"/>
      <c r="AO30" s="15"/>
      <c r="AP30" s="79"/>
      <c r="AQ30" s="107"/>
      <c r="AR30" s="79"/>
      <c r="AS30" s="15"/>
      <c r="AU30" s="453" t="s">
        <v>376</v>
      </c>
      <c r="AV30" s="81"/>
      <c r="AW30" s="15"/>
      <c r="AX30" s="79"/>
      <c r="AY30" s="15"/>
      <c r="AZ30" s="79"/>
      <c r="BA30" s="126" t="s">
        <v>382</v>
      </c>
      <c r="BB30" s="271" t="s">
        <v>383</v>
      </c>
      <c r="BC30" s="126" t="s">
        <v>384</v>
      </c>
      <c r="BD30" s="15"/>
      <c r="BE30" s="126" t="s">
        <v>382</v>
      </c>
      <c r="BF30" s="271" t="s">
        <v>383</v>
      </c>
      <c r="BG30" s="126" t="s">
        <v>384</v>
      </c>
      <c r="BH30" s="79"/>
      <c r="BI30" s="15"/>
      <c r="BJ30" s="79"/>
      <c r="BK30" s="15"/>
      <c r="BL30" s="79"/>
      <c r="BM30" s="15"/>
      <c r="BN30" s="79"/>
      <c r="BO30" s="15"/>
      <c r="BP30" s="79"/>
      <c r="BQ30" s="15"/>
      <c r="BR30" s="79"/>
      <c r="BS30" s="15"/>
      <c r="BU30" s="453" t="s">
        <v>396</v>
      </c>
      <c r="BV30" s="81"/>
      <c r="BW30" s="15"/>
      <c r="BX30" s="79"/>
      <c r="BY30" s="15"/>
      <c r="BZ30" s="79"/>
      <c r="CA30" s="126" t="s">
        <v>402</v>
      </c>
      <c r="CB30" s="271" t="s">
        <v>403</v>
      </c>
      <c r="CC30" s="80"/>
      <c r="CD30" s="126" t="s">
        <v>402</v>
      </c>
      <c r="CE30" s="126" t="s">
        <v>403</v>
      </c>
      <c r="CF30" s="79"/>
      <c r="CG30" s="15"/>
      <c r="CH30" s="79"/>
      <c r="CI30" s="15"/>
      <c r="CJ30" s="79"/>
      <c r="CK30" s="15"/>
      <c r="CL30" s="79"/>
      <c r="CM30" s="15"/>
      <c r="CN30" s="79"/>
      <c r="CO30" s="15"/>
      <c r="CP30" s="162"/>
      <c r="CQ30" s="79"/>
      <c r="CR30" s="162"/>
      <c r="CS30" s="15"/>
      <c r="CV30" s="453" t="s">
        <v>375</v>
      </c>
      <c r="CW30" s="81"/>
      <c r="CX30" s="15"/>
      <c r="CY30" s="79"/>
      <c r="CZ30" s="15"/>
      <c r="DA30" s="15"/>
      <c r="DB30" s="79"/>
      <c r="DC30" s="15"/>
      <c r="DD30" s="79"/>
      <c r="DE30" s="15"/>
      <c r="DF30" s="79"/>
      <c r="DG30" s="79"/>
      <c r="DH30" s="79"/>
      <c r="DI30" s="15"/>
      <c r="DJ30" s="513" t="s">
        <v>516</v>
      </c>
    </row>
    <row r="31" spans="1:114" x14ac:dyDescent="0.25">
      <c r="A31" s="138" t="s">
        <v>489</v>
      </c>
      <c r="B31" s="2" t="s">
        <v>277</v>
      </c>
      <c r="C31" s="2" t="s">
        <v>123</v>
      </c>
      <c r="D31" s="6" t="s">
        <v>491</v>
      </c>
      <c r="I31" s="454"/>
      <c r="J31" s="118" t="s">
        <v>194</v>
      </c>
      <c r="K31" s="106">
        <v>3.5</v>
      </c>
      <c r="L31" s="25">
        <f>'penulangan BALOK'!O13</f>
        <v>250</v>
      </c>
      <c r="M31" s="25">
        <f>'penulangan BALOK'!P13</f>
        <v>200</v>
      </c>
      <c r="N31" s="24">
        <f>'QE &amp; MOMEN'!AA24</f>
        <v>19.781125000000003</v>
      </c>
      <c r="O31" s="27">
        <f t="shared" ref="O31:O39" si="0">N31</f>
        <v>19.781125000000003</v>
      </c>
      <c r="P31" s="24">
        <f>'QE &amp; MOMEN'!AB24</f>
        <v>33.910500000000006</v>
      </c>
      <c r="Q31" s="24">
        <f>'QE &amp; MOMEN'!AC24</f>
        <v>33.910500000000006</v>
      </c>
      <c r="S31" s="455"/>
      <c r="T31" s="47">
        <f>$C$3*1000</f>
        <v>3500</v>
      </c>
      <c r="U31" s="26">
        <v>300</v>
      </c>
      <c r="V31" s="42">
        <v>250</v>
      </c>
      <c r="W31" s="26">
        <f>U31*V31</f>
        <v>75000</v>
      </c>
      <c r="X31" s="42">
        <f>$C$13</f>
        <v>50</v>
      </c>
      <c r="Y31" s="24">
        <f>Q57</f>
        <v>23.919704137265629</v>
      </c>
      <c r="Z31" s="27">
        <f>P59</f>
        <v>45.218000000000004</v>
      </c>
      <c r="AA31" s="24">
        <f>Q39</f>
        <v>49.342000000000006</v>
      </c>
      <c r="AB31" s="27">
        <f>P41</f>
        <v>46.779532786458347</v>
      </c>
      <c r="AC31" s="24">
        <f>SUM(Y31:AB31)</f>
        <v>165.25923692372396</v>
      </c>
      <c r="AD31" s="27">
        <f>O57</f>
        <v>15.156563809306641</v>
      </c>
      <c r="AE31" s="24">
        <f>N59</f>
        <v>26.377166666666668</v>
      </c>
      <c r="AF31" s="27">
        <f>O39</f>
        <v>28.782833333333336</v>
      </c>
      <c r="AG31" s="24">
        <f>N41</f>
        <v>37.350223808593753</v>
      </c>
      <c r="AH31" s="27">
        <f>SUM(AD31:AG31)</f>
        <v>107.6667876179004</v>
      </c>
      <c r="AI31" s="24">
        <f>(AH31*1000000)/(AC31*1000)</f>
        <v>651.50238874450588</v>
      </c>
      <c r="AJ31" s="42">
        <f>15+0.03*V31</f>
        <v>22.5</v>
      </c>
      <c r="AK31" s="43">
        <f>X31/V31</f>
        <v>0.2</v>
      </c>
      <c r="AL31" s="28">
        <f>(AC31*1000)/($C$12*W31*0.85*$C$9)</f>
        <v>0.15952626188715432</v>
      </c>
      <c r="AM31" s="43">
        <f>((AC31*1000)/($C$12*W31*0.85*$C$9))*(AI31/V31)</f>
        <v>0.41572696274785065</v>
      </c>
      <c r="AN31" s="42">
        <v>5.1999999999999998E-2</v>
      </c>
      <c r="AO31" s="26">
        <f>AN31*$C$11</f>
        <v>5.1999999999999998E-2</v>
      </c>
      <c r="AP31" s="42">
        <f>AO31*U31*V31</f>
        <v>3900</v>
      </c>
      <c r="AQ31" s="43">
        <f>AP31/($C$7^2*3.14/4)</f>
        <v>13.762196305379607</v>
      </c>
      <c r="AR31" s="42">
        <f>ROUNDUP(AQ31,0)</f>
        <v>14</v>
      </c>
      <c r="AS31" s="26">
        <f>($C$7^2*3.14/4)*AR31</f>
        <v>3967.39</v>
      </c>
      <c r="AU31" s="455"/>
      <c r="AV31" s="47">
        <f>$C$3*1000</f>
        <v>3500</v>
      </c>
      <c r="AW31" s="26">
        <v>200</v>
      </c>
      <c r="AX31" s="42">
        <v>250</v>
      </c>
      <c r="AY31" s="26">
        <f>AW31*AX31</f>
        <v>50000</v>
      </c>
      <c r="AZ31" s="42">
        <f>$C$13</f>
        <v>50</v>
      </c>
      <c r="BA31" s="24">
        <f>P57</f>
        <v>34.165054612734373</v>
      </c>
      <c r="BB31" s="27">
        <f>Q31</f>
        <v>33.910500000000006</v>
      </c>
      <c r="BC31" s="24">
        <f>P33</f>
        <v>24.876000000000001</v>
      </c>
      <c r="BD31" s="24">
        <f>SUM(BA31:BC31)</f>
        <v>92.951554612734384</v>
      </c>
      <c r="BE31" s="27">
        <f>N57</f>
        <v>19.595529522509764</v>
      </c>
      <c r="BF31" s="24">
        <f>O31</f>
        <v>19.781125000000003</v>
      </c>
      <c r="BG31" s="24">
        <f>N33</f>
        <v>16.584</v>
      </c>
      <c r="BH31" s="27">
        <f>SUM(BE31:BG31)</f>
        <v>55.96065452250977</v>
      </c>
      <c r="BI31" s="24">
        <f>(BH31*1000000)/(BD31*1000)</f>
        <v>602.04108210626043</v>
      </c>
      <c r="BJ31" s="42">
        <f>15+0.03*AX31</f>
        <v>22.5</v>
      </c>
      <c r="BK31" s="43">
        <f>AZ31/AX31</f>
        <v>0.2</v>
      </c>
      <c r="BL31" s="28">
        <f>(BD31*1000)/($C$12*AY31*0.85*$C$9)</f>
        <v>0.13459048631708145</v>
      </c>
      <c r="BM31" s="43">
        <f>((BD31*1000)/($C$12*AY31*0.85*$C$9))*(BI31/AX31)</f>
        <v>0.32411600809417418</v>
      </c>
      <c r="BN31" s="42">
        <v>4.2000000000000003E-2</v>
      </c>
      <c r="BO31" s="26">
        <f>BN31*$C$11</f>
        <v>4.2000000000000003E-2</v>
      </c>
      <c r="BP31" s="42">
        <f>BO31*AW31*AX31</f>
        <v>2100</v>
      </c>
      <c r="BQ31" s="43">
        <f>BP31/($C$7^2*3.14/4)</f>
        <v>7.4104133952044045</v>
      </c>
      <c r="BR31" s="42">
        <f>ROUNDUP(BQ31,0)</f>
        <v>8</v>
      </c>
      <c r="BS31" s="26">
        <f>($C$7^2*3.14/4)*BR31</f>
        <v>2267.08</v>
      </c>
      <c r="BU31" s="455"/>
      <c r="BV31" s="47">
        <f>$C$3*1000</f>
        <v>3500</v>
      </c>
      <c r="BW31" s="26">
        <v>200</v>
      </c>
      <c r="BX31" s="42">
        <v>250</v>
      </c>
      <c r="BY31" s="26">
        <f>BW31*BX31</f>
        <v>50000</v>
      </c>
      <c r="BZ31" s="42">
        <f>$C$13</f>
        <v>50</v>
      </c>
      <c r="CA31" s="24">
        <f>P63</f>
        <v>29.374041897890624</v>
      </c>
      <c r="CB31" s="27">
        <f>Q33</f>
        <v>24.876000000000001</v>
      </c>
      <c r="CC31" s="24">
        <f>SUM(CA31:CB31)</f>
        <v>54.250041897890625</v>
      </c>
      <c r="CD31" s="24">
        <f>N63</f>
        <v>19.045745866845706</v>
      </c>
      <c r="CE31" s="24">
        <f>O33</f>
        <v>16.584</v>
      </c>
      <c r="CF31" s="27">
        <f>SUM(CD31:CE31)</f>
        <v>35.62974586684571</v>
      </c>
      <c r="CG31" s="24">
        <f>(CF31*1000000)/(CC31*1000)</f>
        <v>656.76900183612736</v>
      </c>
      <c r="CH31" s="42">
        <f>15+0.03*BX31</f>
        <v>22.5</v>
      </c>
      <c r="CI31" s="43">
        <f>BZ31/BX31</f>
        <v>0.2</v>
      </c>
      <c r="CJ31" s="28">
        <f>(CC31*1000)/($C$12*BY31*0.85*$C$9)</f>
        <v>7.855209686572398E-2</v>
      </c>
      <c r="CK31" s="43">
        <f>((CC31*1000)/($C$12*BY31*0.85*$C$9))*(CG31/BX31)</f>
        <v>0.20636232900254534</v>
      </c>
      <c r="CL31" s="42">
        <v>2.7E-2</v>
      </c>
      <c r="CM31" s="26">
        <f>CL31*$C$11</f>
        <v>2.7E-2</v>
      </c>
      <c r="CN31" s="42">
        <f>CM31*BW31*BX31</f>
        <v>1350</v>
      </c>
      <c r="CO31" s="43">
        <f>CN31/($C$7^2*3.14/4)</f>
        <v>4.763837182631403</v>
      </c>
      <c r="CP31" s="163">
        <f>ROUNDUP(CO31,0)</f>
        <v>5</v>
      </c>
      <c r="CQ31" s="273">
        <f>MAX(CP31,CR31)</f>
        <v>5</v>
      </c>
      <c r="CR31" s="163">
        <v>4</v>
      </c>
      <c r="CS31" s="26">
        <f>($C$7^2*3.14/4)*CQ31</f>
        <v>1416.925</v>
      </c>
      <c r="CV31" s="455"/>
      <c r="CW31" s="47">
        <f>$C$3*1000</f>
        <v>3500</v>
      </c>
      <c r="CX31" s="26">
        <v>200</v>
      </c>
      <c r="CY31" s="42">
        <v>250</v>
      </c>
      <c r="CZ31" s="26">
        <f>CX31*CY31</f>
        <v>50000</v>
      </c>
      <c r="DA31" s="26">
        <f>$C$13</f>
        <v>50</v>
      </c>
      <c r="DB31" s="42">
        <v>2.8000000000000001E-2</v>
      </c>
      <c r="DC31" s="26">
        <f>DB31*$C$11</f>
        <v>2.8000000000000001E-2</v>
      </c>
      <c r="DD31" s="42">
        <f>$BP$29</f>
        <v>1400.0000000000002</v>
      </c>
      <c r="DE31" s="43">
        <f>DD31/($C$7^2*3.14/4)</f>
        <v>4.9402755968029366</v>
      </c>
      <c r="DF31" s="28"/>
      <c r="DG31" s="42">
        <f>ROUNDUP(DE31,0)</f>
        <v>5</v>
      </c>
      <c r="DH31" s="42"/>
      <c r="DI31" s="26">
        <f>($C$7^2*3.14/4)*DG31</f>
        <v>1416.925</v>
      </c>
      <c r="DJ31" s="513"/>
    </row>
    <row r="32" spans="1:114" ht="15.75" customHeight="1" x14ac:dyDescent="0.25">
      <c r="A32" s="138" t="s">
        <v>490</v>
      </c>
      <c r="B32" s="2" t="s">
        <v>139</v>
      </c>
      <c r="C32" s="2" t="s">
        <v>278</v>
      </c>
      <c r="D32" s="270" t="s">
        <v>128</v>
      </c>
      <c r="I32" s="454"/>
      <c r="J32" s="119" t="s">
        <v>205</v>
      </c>
      <c r="K32" s="99"/>
      <c r="L32" s="78"/>
      <c r="M32" s="56"/>
      <c r="N32" s="59"/>
      <c r="O32" s="58"/>
      <c r="P32" s="59"/>
      <c r="Q32" s="59"/>
      <c r="AU32" s="453" t="s">
        <v>501</v>
      </c>
      <c r="AV32" s="81"/>
      <c r="AW32" s="15"/>
      <c r="AX32" s="79"/>
      <c r="AY32" s="15"/>
      <c r="AZ32" s="79"/>
      <c r="BA32" s="126" t="s">
        <v>386</v>
      </c>
      <c r="BB32" s="271" t="s">
        <v>387</v>
      </c>
      <c r="BC32" s="126" t="s">
        <v>385</v>
      </c>
      <c r="BD32" s="15"/>
      <c r="BE32" s="126" t="s">
        <v>386</v>
      </c>
      <c r="BF32" s="271" t="s">
        <v>387</v>
      </c>
      <c r="BG32" s="126" t="s">
        <v>385</v>
      </c>
      <c r="BH32" s="79"/>
      <c r="BI32" s="15"/>
      <c r="BJ32" s="79"/>
      <c r="BK32" s="15"/>
      <c r="BL32" s="79"/>
      <c r="BM32" s="15"/>
      <c r="BN32" s="79"/>
      <c r="BO32" s="15"/>
      <c r="BP32" s="79"/>
      <c r="BQ32" s="15"/>
      <c r="BR32" s="79"/>
      <c r="BS32" s="15"/>
      <c r="BU32" s="453" t="s">
        <v>397</v>
      </c>
      <c r="BV32" s="81"/>
      <c r="BW32" s="15"/>
      <c r="BX32" s="79"/>
      <c r="BY32" s="15"/>
      <c r="BZ32" s="79"/>
      <c r="CA32" s="126" t="s">
        <v>404</v>
      </c>
      <c r="CB32" s="271" t="s">
        <v>405</v>
      </c>
      <c r="CC32" s="80"/>
      <c r="CD32" s="126" t="s">
        <v>404</v>
      </c>
      <c r="CE32" s="126" t="s">
        <v>405</v>
      </c>
      <c r="CF32" s="79"/>
      <c r="CG32" s="15"/>
      <c r="CH32" s="79"/>
      <c r="CI32" s="15"/>
      <c r="CJ32" s="79"/>
      <c r="CK32" s="15"/>
      <c r="CL32" s="79"/>
      <c r="CM32" s="15"/>
      <c r="CN32" s="79"/>
      <c r="CO32" s="15"/>
      <c r="CP32" s="162"/>
      <c r="CQ32" s="79"/>
      <c r="CR32" s="162"/>
      <c r="CS32" s="15"/>
      <c r="CV32" s="453" t="s">
        <v>376</v>
      </c>
      <c r="CW32" s="81"/>
      <c r="CX32" s="15"/>
      <c r="CY32" s="79"/>
      <c r="CZ32" s="15"/>
      <c r="DA32" s="15"/>
      <c r="DB32" s="79"/>
      <c r="DC32" s="15"/>
      <c r="DD32" s="79"/>
      <c r="DE32" s="15"/>
      <c r="DF32" s="79"/>
      <c r="DG32" s="79"/>
      <c r="DH32" s="79"/>
      <c r="DI32" s="15"/>
      <c r="DJ32" s="513" t="s">
        <v>520</v>
      </c>
    </row>
    <row r="33" spans="1:114" ht="15.75" customHeight="1" x14ac:dyDescent="0.25">
      <c r="B33" s="85"/>
      <c r="C33" s="85"/>
      <c r="I33" s="455"/>
      <c r="J33" s="118" t="s">
        <v>194</v>
      </c>
      <c r="K33" s="106">
        <v>4</v>
      </c>
      <c r="L33" s="25">
        <f>'penulangan BALOK'!O15</f>
        <v>300</v>
      </c>
      <c r="M33" s="25">
        <f>'penulangan BALOK'!P15</f>
        <v>200</v>
      </c>
      <c r="N33" s="59">
        <f>'QE &amp; MOMEN'!AA26</f>
        <v>16.584</v>
      </c>
      <c r="O33" s="58">
        <f t="shared" si="0"/>
        <v>16.584</v>
      </c>
      <c r="P33" s="59">
        <f>'QE &amp; MOMEN'!AB26</f>
        <v>24.876000000000001</v>
      </c>
      <c r="Q33" s="59">
        <f>'QE &amp; MOMEN'!AC26</f>
        <v>24.876000000000001</v>
      </c>
      <c r="AU33" s="455"/>
      <c r="AV33" s="47">
        <f>$C$3*1000</f>
        <v>3500</v>
      </c>
      <c r="AW33" s="26">
        <v>300</v>
      </c>
      <c r="AX33" s="42">
        <v>250</v>
      </c>
      <c r="AY33" s="26">
        <f>AW33*AX33</f>
        <v>75000</v>
      </c>
      <c r="AZ33" s="42">
        <f>$C$13</f>
        <v>50</v>
      </c>
      <c r="BA33" s="24">
        <f>Q63</f>
        <v>28.213466852109381</v>
      </c>
      <c r="BB33" s="27">
        <f>P65</f>
        <v>31.538584062196303</v>
      </c>
      <c r="BC33" s="24">
        <f>Q41</f>
        <v>71.63474971354168</v>
      </c>
      <c r="BD33" s="24">
        <f>SUM(BA33:BC33)</f>
        <v>131.38680062784738</v>
      </c>
      <c r="BE33" s="27">
        <f>O63</f>
        <v>16.45629017317383</v>
      </c>
      <c r="BF33" s="24">
        <f>N65</f>
        <v>20.736518586005829</v>
      </c>
      <c r="BG33" s="24">
        <f>O41</f>
        <v>67.657157662760426</v>
      </c>
      <c r="BH33" s="27">
        <f>SUM(BE33:BG33)</f>
        <v>104.84996642194008</v>
      </c>
      <c r="BI33" s="24">
        <f>(BH33*1000000)/(BD33*1000)</f>
        <v>798.02511303191886</v>
      </c>
      <c r="BJ33" s="42">
        <f>15+0.03*AX33</f>
        <v>22.5</v>
      </c>
      <c r="BK33" s="43">
        <f>AZ33/AX33</f>
        <v>0.2</v>
      </c>
      <c r="BL33" s="28">
        <f>(BD33*1000)/($C$12*AY33*0.85*$C$9)</f>
        <v>0.1268288874838949</v>
      </c>
      <c r="BM33" s="43">
        <f>((BD33*1000)/($C$12*AY33*0.85*$C$9))*(BI33/AX33)</f>
        <v>0.40485054908019097</v>
      </c>
      <c r="BN33" s="42">
        <v>5.3999999999999999E-2</v>
      </c>
      <c r="BO33" s="26">
        <f>BN33*$C$11</f>
        <v>5.3999999999999999E-2</v>
      </c>
      <c r="BP33" s="42">
        <f>BO33*AW33*AX33</f>
        <v>4050</v>
      </c>
      <c r="BQ33" s="43">
        <f>BP33/($C$7^2*3.14/4)</f>
        <v>14.291511547894208</v>
      </c>
      <c r="BR33" s="42">
        <f>ROUNDUP(BQ33,0)</f>
        <v>15</v>
      </c>
      <c r="BS33" s="26">
        <f>($C$7^2*3.14/4)*BR33</f>
        <v>4250.7749999999996</v>
      </c>
      <c r="BU33" s="455"/>
      <c r="BV33" s="47">
        <f>$C$3*1000</f>
        <v>3500</v>
      </c>
      <c r="BW33" s="26">
        <v>300</v>
      </c>
      <c r="BX33" s="42">
        <v>150</v>
      </c>
      <c r="BY33" s="26">
        <f>BW33*BX33</f>
        <v>45000</v>
      </c>
      <c r="BZ33" s="42">
        <f>$C$15</f>
        <v>30</v>
      </c>
      <c r="CA33" s="24">
        <f>Q51</f>
        <v>8.7345000000000006</v>
      </c>
      <c r="CB33" s="27">
        <f>P37</f>
        <v>4.5314999999999994</v>
      </c>
      <c r="CC33" s="24">
        <f>SUM(CA33:CB33)</f>
        <v>13.266</v>
      </c>
      <c r="CD33" s="24">
        <f>O51</f>
        <v>4.3672500000000003</v>
      </c>
      <c r="CE33" s="24">
        <f>N37</f>
        <v>1.1328749999999999</v>
      </c>
      <c r="CF33" s="27">
        <f>SUM(CD33:CE33)</f>
        <v>5.5001250000000006</v>
      </c>
      <c r="CG33" s="24">
        <f>(CF33*1000000)/(CC33*1000)</f>
        <v>414.60312075983722</v>
      </c>
      <c r="CH33" s="42">
        <f>15+0.03*BX33</f>
        <v>19.5</v>
      </c>
      <c r="CI33" s="43">
        <f>BZ33/BX33</f>
        <v>0.2</v>
      </c>
      <c r="CJ33" s="28">
        <f>(CC33*1000)/($C$12*BY33*0.85*$C$9)</f>
        <v>2.1342986425339366E-2</v>
      </c>
      <c r="CK33" s="43">
        <f>((CC33*1000)/($C$12*BY33*0.85*$C$9))*(CG33/BX33)</f>
        <v>5.8992458521870295E-2</v>
      </c>
      <c r="CL33" s="42">
        <v>6.0000000000000001E-3</v>
      </c>
      <c r="CM33" s="26">
        <f>CL33*$C$11</f>
        <v>6.0000000000000001E-3</v>
      </c>
      <c r="CN33" s="42">
        <f>CM33*BW33*BX33</f>
        <v>270</v>
      </c>
      <c r="CO33" s="43">
        <f>CN33/($C$7^2*3.14/4)</f>
        <v>0.95276743652628049</v>
      </c>
      <c r="CP33" s="163">
        <f>ROUNDUP(CO33,0)</f>
        <v>1</v>
      </c>
      <c r="CQ33" s="273">
        <f>MAX(CP33,CR33)</f>
        <v>4</v>
      </c>
      <c r="CR33" s="163">
        <v>4</v>
      </c>
      <c r="CS33" s="26">
        <f>($C$7^2*3.14/4)*CQ33</f>
        <v>1133.54</v>
      </c>
      <c r="CV33" s="455"/>
      <c r="CW33" s="47">
        <f>$C$3*1000</f>
        <v>3500</v>
      </c>
      <c r="CX33" s="26">
        <v>200</v>
      </c>
      <c r="CY33" s="42">
        <v>250</v>
      </c>
      <c r="CZ33" s="26">
        <f>CX33*CY33</f>
        <v>50000</v>
      </c>
      <c r="DA33" s="26">
        <f>$C$13</f>
        <v>50</v>
      </c>
      <c r="DB33" s="42">
        <v>4.2000000000000003E-2</v>
      </c>
      <c r="DC33" s="26">
        <f>DB33*$C$11</f>
        <v>4.2000000000000003E-2</v>
      </c>
      <c r="DD33" s="42">
        <f>$BP$31</f>
        <v>2100</v>
      </c>
      <c r="DE33" s="43">
        <f>DD33/($C$7^2*3.14/4)</f>
        <v>7.4104133952044045</v>
      </c>
      <c r="DF33" s="28"/>
      <c r="DG33" s="42">
        <f>ROUNDUP(DE33,0)</f>
        <v>8</v>
      </c>
      <c r="DH33" s="42"/>
      <c r="DI33" s="26">
        <f>($C$7^2*3.14/4)*DG33</f>
        <v>2267.08</v>
      </c>
      <c r="DJ33" s="513"/>
    </row>
    <row r="34" spans="1:114" ht="15.75" customHeight="1" x14ac:dyDescent="0.25">
      <c r="A34" s="138"/>
      <c r="B34" s="5"/>
      <c r="C34" s="5"/>
      <c r="D34" s="270"/>
      <c r="I34" s="453" t="s">
        <v>206</v>
      </c>
      <c r="J34" s="119" t="s">
        <v>205</v>
      </c>
      <c r="K34" s="99"/>
      <c r="L34" s="78"/>
      <c r="M34" s="78"/>
      <c r="N34" s="16"/>
      <c r="O34" s="82"/>
      <c r="P34" s="16"/>
      <c r="Q34" s="16"/>
      <c r="AU34" s="453" t="s">
        <v>378</v>
      </c>
      <c r="AV34" s="81"/>
      <c r="AW34" s="15"/>
      <c r="AX34" s="79"/>
      <c r="AY34" s="15"/>
      <c r="AZ34" s="79"/>
      <c r="BA34" s="126" t="s">
        <v>388</v>
      </c>
      <c r="BB34" s="271" t="s">
        <v>389</v>
      </c>
      <c r="BC34" s="126" t="s">
        <v>390</v>
      </c>
      <c r="BD34" s="15"/>
      <c r="BE34" s="126" t="s">
        <v>388</v>
      </c>
      <c r="BF34" s="271" t="s">
        <v>389</v>
      </c>
      <c r="BG34" s="126" t="s">
        <v>390</v>
      </c>
      <c r="BH34" s="79"/>
      <c r="BI34" s="15"/>
      <c r="BJ34" s="79"/>
      <c r="BK34" s="15"/>
      <c r="BL34" s="79"/>
      <c r="BM34" s="15"/>
      <c r="BN34" s="79"/>
      <c r="BO34" s="15"/>
      <c r="BP34" s="79"/>
      <c r="BQ34" s="15"/>
      <c r="BR34" s="79"/>
      <c r="BS34" s="15"/>
      <c r="BU34" s="453" t="s">
        <v>398</v>
      </c>
      <c r="BV34" s="81"/>
      <c r="BW34" s="15"/>
      <c r="BX34" s="79"/>
      <c r="BY34" s="15"/>
      <c r="BZ34" s="79"/>
      <c r="CA34" s="126" t="s">
        <v>406</v>
      </c>
      <c r="CB34" s="271" t="s">
        <v>407</v>
      </c>
      <c r="CC34" s="80"/>
      <c r="CD34" s="126" t="s">
        <v>406</v>
      </c>
      <c r="CE34" s="126" t="s">
        <v>407</v>
      </c>
      <c r="CF34" s="79"/>
      <c r="CG34" s="15"/>
      <c r="CH34" s="79"/>
      <c r="CI34" s="15"/>
      <c r="CJ34" s="79"/>
      <c r="CK34" s="15"/>
      <c r="CL34" s="79"/>
      <c r="CM34" s="15"/>
      <c r="CN34" s="79"/>
      <c r="CO34" s="15"/>
      <c r="CP34" s="162"/>
      <c r="CQ34" s="79"/>
      <c r="CR34" s="162"/>
      <c r="CS34" s="15"/>
      <c r="CV34" s="453" t="s">
        <v>396</v>
      </c>
      <c r="CW34" s="81"/>
      <c r="CX34" s="15"/>
      <c r="CY34" s="79"/>
      <c r="CZ34" s="15"/>
      <c r="DA34" s="15"/>
      <c r="DB34" s="79"/>
      <c r="DC34" s="15"/>
      <c r="DD34" s="79"/>
      <c r="DE34" s="15"/>
      <c r="DF34" s="162"/>
      <c r="DG34" s="79"/>
      <c r="DH34" s="162"/>
      <c r="DI34" s="15"/>
      <c r="DJ34" s="513" t="s">
        <v>516</v>
      </c>
    </row>
    <row r="35" spans="1:114" x14ac:dyDescent="0.25">
      <c r="B35" s="90"/>
      <c r="C35" s="90"/>
      <c r="I35" s="455"/>
      <c r="J35" s="118" t="s">
        <v>194</v>
      </c>
      <c r="K35" s="106">
        <v>4</v>
      </c>
      <c r="L35" s="25">
        <f>'penulangan BALOK'!O17</f>
        <v>300</v>
      </c>
      <c r="M35" s="25">
        <f>'penulangan BALOK'!P17</f>
        <v>150</v>
      </c>
      <c r="N35" s="24">
        <f>'QE &amp; MOMEN'!AA28</f>
        <v>9.3339275000000015</v>
      </c>
      <c r="O35" s="27">
        <f t="shared" si="0"/>
        <v>9.3339275000000015</v>
      </c>
      <c r="P35" s="24">
        <f>'QE &amp; MOMEN'!AB28</f>
        <v>14.000891250000002</v>
      </c>
      <c r="Q35" s="24">
        <f>'QE &amp; MOMEN'!AC28</f>
        <v>14.000891250000002</v>
      </c>
      <c r="AU35" s="455"/>
      <c r="AV35" s="47">
        <f>$C$3*1000</f>
        <v>3500</v>
      </c>
      <c r="AW35" s="26">
        <v>250</v>
      </c>
      <c r="AX35" s="42">
        <v>250</v>
      </c>
      <c r="AY35" s="26">
        <f>AW35*AX35</f>
        <v>62500</v>
      </c>
      <c r="AZ35" s="42">
        <f>$C$13</f>
        <v>50</v>
      </c>
      <c r="BA35" s="24">
        <f>Q59</f>
        <v>45.218000000000004</v>
      </c>
      <c r="BB35" s="27">
        <f>Q45</f>
        <v>36.694000000000003</v>
      </c>
      <c r="BC35" s="24">
        <f>P47</f>
        <v>37.81766145833334</v>
      </c>
      <c r="BD35" s="24">
        <f>SUM(BA35:BC35)</f>
        <v>119.72966145833334</v>
      </c>
      <c r="BE35" s="27">
        <f>O59</f>
        <v>26.377166666666668</v>
      </c>
      <c r="BF35" s="24">
        <f>O45</f>
        <v>21.404833333333332</v>
      </c>
      <c r="BG35" s="24">
        <f>N47</f>
        <v>31.005343750000002</v>
      </c>
      <c r="BH35" s="27">
        <f>SUM(BE35:BG35)</f>
        <v>78.787343749999991</v>
      </c>
      <c r="BI35" s="24">
        <f>(BH35*1000000)/(BD35*1000)</f>
        <v>658.04365259496251</v>
      </c>
      <c r="BJ35" s="42">
        <f>15+0.03*AX35</f>
        <v>22.5</v>
      </c>
      <c r="BK35" s="43">
        <f>AZ35/AX35</f>
        <v>0.2</v>
      </c>
      <c r="BL35" s="28">
        <f>(BD35*1000)/($C$12*AY35*0.85*$C$9)</f>
        <v>0.13869137254901961</v>
      </c>
      <c r="BM35" s="43">
        <f>((BD35*1000)/($C$12*AY35*0.85*$C$9))*(BI35/AX35)</f>
        <v>0.36505990950226236</v>
      </c>
      <c r="BN35" s="42">
        <v>4.4999999999999998E-2</v>
      </c>
      <c r="BO35" s="26">
        <f>BN35*$C$11</f>
        <v>4.4999999999999998E-2</v>
      </c>
      <c r="BP35" s="42">
        <f>BO35*AW35*AX35</f>
        <v>2812.5</v>
      </c>
      <c r="BQ35" s="43">
        <f>BP35/($C$7^2*3.14/4)</f>
        <v>9.9246607971487553</v>
      </c>
      <c r="BR35" s="42">
        <f>ROUNDUP(BQ35,0)</f>
        <v>10</v>
      </c>
      <c r="BS35" s="26">
        <f>($C$7^2*3.14/4)*BR35</f>
        <v>2833.85</v>
      </c>
      <c r="BU35" s="455"/>
      <c r="BV35" s="47">
        <f>$C$3*1000</f>
        <v>3500</v>
      </c>
      <c r="BW35" s="26">
        <v>200</v>
      </c>
      <c r="BX35" s="42">
        <v>200</v>
      </c>
      <c r="BY35" s="26">
        <f>BW35*BX35</f>
        <v>40000</v>
      </c>
      <c r="BZ35" s="42">
        <f>$C$14</f>
        <v>40</v>
      </c>
      <c r="CA35" s="24">
        <f>P67</f>
        <v>8.3559999999999999</v>
      </c>
      <c r="CB35" s="27">
        <f>Q43</f>
        <v>11.498999999999999</v>
      </c>
      <c r="CC35" s="24">
        <f>SUM(CA35:CB35)</f>
        <v>19.854999999999997</v>
      </c>
      <c r="CD35" s="24">
        <f>N67</f>
        <v>2.785333333333333</v>
      </c>
      <c r="CE35" s="24">
        <f>O43</f>
        <v>4.7912499999999998</v>
      </c>
      <c r="CF35" s="27">
        <f>SUM(CD35:CE35)</f>
        <v>7.5765833333333328</v>
      </c>
      <c r="CG35" s="24">
        <f>(CF35*1000000)/(CC35*1000)</f>
        <v>381.59573575086046</v>
      </c>
      <c r="CH35" s="42">
        <f>15+0.03*BX35</f>
        <v>21</v>
      </c>
      <c r="CI35" s="43">
        <f>BZ35/BX35</f>
        <v>0.2</v>
      </c>
      <c r="CJ35" s="28">
        <f>(CC35*1000)/($C$12*BY35*0.85*$C$9)</f>
        <v>3.5936651583710399E-2</v>
      </c>
      <c r="CK35" s="43">
        <f>((CC35*1000)/($C$12*BY35*0.85*$C$9))*(CG35/BX35)</f>
        <v>6.8566365007541472E-2</v>
      </c>
      <c r="CL35" s="42">
        <v>8.0000000000000002E-3</v>
      </c>
      <c r="CM35" s="26">
        <f>CL35*$C$11</f>
        <v>8.0000000000000002E-3</v>
      </c>
      <c r="CN35" s="42">
        <f>CM35*BW35*BX35</f>
        <v>320</v>
      </c>
      <c r="CO35" s="43">
        <f>CN35/($C$7^2*3.14/4)</f>
        <v>1.129205850697814</v>
      </c>
      <c r="CP35" s="163">
        <f>ROUNDUP(CO35,0)</f>
        <v>2</v>
      </c>
      <c r="CQ35" s="273">
        <f>MAX(CP35,CR35)</f>
        <v>4</v>
      </c>
      <c r="CR35" s="163">
        <v>4</v>
      </c>
      <c r="CS35" s="26">
        <f>($C$7^2*3.14/4)*CQ35</f>
        <v>1133.54</v>
      </c>
      <c r="CV35" s="455"/>
      <c r="CW35" s="47">
        <f>$C$3*1000</f>
        <v>3500</v>
      </c>
      <c r="CX35" s="26">
        <v>200</v>
      </c>
      <c r="CY35" s="42">
        <v>250</v>
      </c>
      <c r="CZ35" s="26">
        <f>CX35*CY35</f>
        <v>50000</v>
      </c>
      <c r="DA35" s="26">
        <f>$C$13</f>
        <v>50</v>
      </c>
      <c r="DB35" s="42">
        <v>2.7E-2</v>
      </c>
      <c r="DC35" s="26">
        <f>DB35*$C$11</f>
        <v>2.7E-2</v>
      </c>
      <c r="DD35" s="42">
        <f>$CN$31</f>
        <v>1350</v>
      </c>
      <c r="DE35" s="43">
        <f>DD35/($C$7^2*3.14/4)</f>
        <v>4.763837182631403</v>
      </c>
      <c r="DF35" s="163">
        <f>ROUNDUP(DE35,0)</f>
        <v>5</v>
      </c>
      <c r="DG35" s="273">
        <f>MAX(DF35,DH35)</f>
        <v>5</v>
      </c>
      <c r="DH35" s="163">
        <v>4</v>
      </c>
      <c r="DI35" s="26">
        <f>($C$7^2*3.14/4)*DG35</f>
        <v>1416.925</v>
      </c>
      <c r="DJ35" s="513"/>
    </row>
    <row r="36" spans="1:114" x14ac:dyDescent="0.25">
      <c r="I36" s="453" t="s">
        <v>208</v>
      </c>
      <c r="J36" s="80" t="s">
        <v>202</v>
      </c>
      <c r="K36" s="99"/>
      <c r="L36" s="56"/>
      <c r="M36" s="56"/>
      <c r="N36" s="59"/>
      <c r="O36" s="58"/>
      <c r="P36" s="59"/>
      <c r="Q36" s="59"/>
      <c r="AU36" s="453" t="s">
        <v>391</v>
      </c>
      <c r="AV36" s="81"/>
      <c r="AW36" s="15"/>
      <c r="AX36" s="79"/>
      <c r="AY36" s="15"/>
      <c r="AZ36" s="79"/>
      <c r="BA36" s="126" t="s">
        <v>392</v>
      </c>
      <c r="BB36" s="271" t="s">
        <v>393</v>
      </c>
      <c r="BC36" s="126" t="s">
        <v>394</v>
      </c>
      <c r="BD36" s="15"/>
      <c r="BE36" s="126" t="s">
        <v>392</v>
      </c>
      <c r="BF36" s="271" t="s">
        <v>393</v>
      </c>
      <c r="BG36" s="126" t="s">
        <v>394</v>
      </c>
      <c r="BH36" s="79"/>
      <c r="BI36" s="15"/>
      <c r="BJ36" s="79"/>
      <c r="BK36" s="15"/>
      <c r="BL36" s="79"/>
      <c r="BM36" s="15"/>
      <c r="BN36" s="79"/>
      <c r="BO36" s="15"/>
      <c r="BP36" s="79"/>
      <c r="BQ36" s="15"/>
      <c r="BR36" s="79"/>
      <c r="BS36" s="15"/>
      <c r="BU36" s="453" t="s">
        <v>377</v>
      </c>
      <c r="BV36" s="81"/>
      <c r="BW36" s="15"/>
      <c r="BX36" s="79"/>
      <c r="BY36" s="15"/>
      <c r="BZ36" s="79"/>
      <c r="CA36" s="126" t="s">
        <v>408</v>
      </c>
      <c r="CB36" s="271" t="s">
        <v>409</v>
      </c>
      <c r="CC36" s="80"/>
      <c r="CD36" s="126" t="s">
        <v>408</v>
      </c>
      <c r="CE36" s="126" t="s">
        <v>409</v>
      </c>
      <c r="CF36" s="79"/>
      <c r="CG36" s="15"/>
      <c r="CH36" s="79"/>
      <c r="CI36" s="15"/>
      <c r="CJ36" s="79"/>
      <c r="CK36" s="15"/>
      <c r="CL36" s="79"/>
      <c r="CM36" s="15"/>
      <c r="CN36" s="79"/>
      <c r="CO36" s="15"/>
      <c r="CP36" s="162"/>
      <c r="CQ36" s="79"/>
      <c r="CR36" s="162"/>
      <c r="CS36" s="15"/>
      <c r="CV36" s="453" t="s">
        <v>397</v>
      </c>
      <c r="CW36" s="81"/>
      <c r="CX36" s="15"/>
      <c r="CY36" s="79"/>
      <c r="CZ36" s="15"/>
      <c r="DA36" s="15"/>
      <c r="DB36" s="79"/>
      <c r="DC36" s="15"/>
      <c r="DD36" s="79"/>
      <c r="DE36" s="15"/>
      <c r="DF36" s="162"/>
      <c r="DG36" s="79"/>
      <c r="DH36" s="162"/>
      <c r="DI36" s="15"/>
      <c r="DJ36" s="513" t="s">
        <v>515</v>
      </c>
    </row>
    <row r="37" spans="1:114" x14ac:dyDescent="0.25">
      <c r="I37" s="454"/>
      <c r="J37" s="118" t="s">
        <v>194</v>
      </c>
      <c r="K37" s="106">
        <v>1.5</v>
      </c>
      <c r="L37" s="25">
        <f>'penulangan BALOK'!O19</f>
        <v>400</v>
      </c>
      <c r="M37" s="25">
        <f>'penulangan BALOK'!P19</f>
        <v>250</v>
      </c>
      <c r="N37" s="59">
        <f>'QE &amp; MOMEN'!AA30</f>
        <v>1.1328749999999999</v>
      </c>
      <c r="O37" s="58">
        <f t="shared" si="0"/>
        <v>1.1328749999999999</v>
      </c>
      <c r="P37" s="59">
        <f>'QE &amp; MOMEN'!AB30</f>
        <v>4.5314999999999994</v>
      </c>
      <c r="Q37" s="59">
        <f>'QE &amp; MOMEN'!AC30</f>
        <v>4.5314999999999994</v>
      </c>
      <c r="AU37" s="455"/>
      <c r="AV37" s="47">
        <f>$C$3*1000</f>
        <v>3500</v>
      </c>
      <c r="AW37" s="26">
        <v>250</v>
      </c>
      <c r="AX37" s="42">
        <v>250</v>
      </c>
      <c r="AY37" s="26">
        <f>AW37*AX37</f>
        <v>62500</v>
      </c>
      <c r="AZ37" s="42">
        <f>$C$13</f>
        <v>50</v>
      </c>
      <c r="BA37" s="24">
        <f>Q65</f>
        <v>21.641415937803696</v>
      </c>
      <c r="BB37" s="27">
        <f>Q47</f>
        <v>69.928838541666664</v>
      </c>
      <c r="BC37" s="24">
        <f>P49</f>
        <v>13.748999999999999</v>
      </c>
      <c r="BD37" s="24">
        <f>SUM(BA37:BC37)</f>
        <v>105.31925447947036</v>
      </c>
      <c r="BE37" s="27">
        <f>O65</f>
        <v>16.032224368318758</v>
      </c>
      <c r="BF37" s="24">
        <f>O47</f>
        <v>59.759197916666665</v>
      </c>
      <c r="BG37" s="24">
        <f>N49</f>
        <v>5.7287499999999989</v>
      </c>
      <c r="BH37" s="27">
        <f>SUM(BE37:BG37)</f>
        <v>81.520172284985435</v>
      </c>
      <c r="BI37" s="24">
        <f>(BH37*1000000)/(BD37*1000)</f>
        <v>774.02914298900566</v>
      </c>
      <c r="BJ37" s="42">
        <f>15+0.03*AX37</f>
        <v>22.5</v>
      </c>
      <c r="BK37" s="43">
        <f>AZ37/AX37</f>
        <v>0.2</v>
      </c>
      <c r="BL37" s="28">
        <f>(BD37*1000)/($C$12*AY37*0.85*$C$9)</f>
        <v>0.12199877441965797</v>
      </c>
      <c r="BM37" s="43">
        <f>((BD37*1000)/($C$12*AY37*0.85*$C$9))*(BI37/AX37)</f>
        <v>0.37772242723902755</v>
      </c>
      <c r="BN37" s="42">
        <v>4.8000000000000001E-2</v>
      </c>
      <c r="BO37" s="26">
        <f>BN37*$C$11</f>
        <v>4.8000000000000001E-2</v>
      </c>
      <c r="BP37" s="42">
        <f>BO37*AW37*AX37</f>
        <v>3000</v>
      </c>
      <c r="BQ37" s="43">
        <f>BP37/($C$7^2*3.14/4)</f>
        <v>10.586304850292006</v>
      </c>
      <c r="BR37" s="42">
        <f>ROUNDUP(BQ37,0)</f>
        <v>11</v>
      </c>
      <c r="BS37" s="26">
        <f>($C$7^2*3.14/4)*BR37</f>
        <v>3117.2349999999997</v>
      </c>
      <c r="BU37" s="455"/>
      <c r="BV37" s="47">
        <f>$C$3*1000</f>
        <v>3500</v>
      </c>
      <c r="BW37" s="26">
        <v>200</v>
      </c>
      <c r="BX37" s="42">
        <v>250</v>
      </c>
      <c r="BY37" s="26">
        <f>BW37*BX37</f>
        <v>50000</v>
      </c>
      <c r="BZ37" s="42">
        <f>$C$13</f>
        <v>50</v>
      </c>
      <c r="CA37" s="24">
        <f>O55</f>
        <v>20.228833333333334</v>
      </c>
      <c r="CB37" s="27">
        <f>P45</f>
        <v>36.694000000000003</v>
      </c>
      <c r="CC37" s="24">
        <f>SUM(CA37:CB37)</f>
        <v>56.922833333333337</v>
      </c>
      <c r="CD37" s="24">
        <f>O55</f>
        <v>20.228833333333334</v>
      </c>
      <c r="CE37" s="24">
        <f>N45</f>
        <v>21.404833333333332</v>
      </c>
      <c r="CF37" s="27">
        <f>SUM(CD37:CE37)</f>
        <v>41.63366666666667</v>
      </c>
      <c r="CG37" s="24">
        <f>(CF37*1000000)/(CC37*1000)</f>
        <v>731.40538214014884</v>
      </c>
      <c r="CH37" s="42">
        <f>15+0.03*BX37</f>
        <v>22.5</v>
      </c>
      <c r="CI37" s="43">
        <f>BZ37/BX37</f>
        <v>0.2</v>
      </c>
      <c r="CJ37" s="28">
        <f>(CC37*1000)/($C$12*BY37*0.85*$C$9)</f>
        <v>8.2422202111613885E-2</v>
      </c>
      <c r="CK37" s="43">
        <f>((CC37*1000)/($C$12*BY37*0.85*$C$9))*(CG37/BX37)</f>
        <v>0.24113616892911013</v>
      </c>
      <c r="CL37" s="42">
        <v>3.1E-2</v>
      </c>
      <c r="CM37" s="26">
        <f>CL37*$C$11</f>
        <v>3.1E-2</v>
      </c>
      <c r="CN37" s="42">
        <f>CM37*BW37*BX37</f>
        <v>1550</v>
      </c>
      <c r="CO37" s="43">
        <f>CN37/($C$7^2*3.14/4)</f>
        <v>5.4695908393175365</v>
      </c>
      <c r="CP37" s="163">
        <f>ROUNDUP(CO37,0)</f>
        <v>6</v>
      </c>
      <c r="CQ37" s="273">
        <f>MAX(CP37,CR37)</f>
        <v>6</v>
      </c>
      <c r="CR37" s="163">
        <v>4</v>
      </c>
      <c r="CS37" s="26">
        <f>($C$7^2*3.14/4)*CQ37</f>
        <v>1700.31</v>
      </c>
      <c r="CV37" s="455"/>
      <c r="CW37" s="47">
        <f>$C$3*1000</f>
        <v>3500</v>
      </c>
      <c r="CX37" s="26">
        <v>300</v>
      </c>
      <c r="CY37" s="42">
        <v>150</v>
      </c>
      <c r="CZ37" s="26">
        <f>CX37*CY37</f>
        <v>45000</v>
      </c>
      <c r="DA37" s="26">
        <f>$C$15</f>
        <v>30</v>
      </c>
      <c r="DB37" s="42">
        <v>6.0000000000000001E-3</v>
      </c>
      <c r="DC37" s="26">
        <f>DB37*$C$11</f>
        <v>6.0000000000000001E-3</v>
      </c>
      <c r="DD37" s="42">
        <f>$CN$33</f>
        <v>270</v>
      </c>
      <c r="DE37" s="43">
        <f>DD37/($C$7^2*3.14/4)</f>
        <v>0.95276743652628049</v>
      </c>
      <c r="DF37" s="163">
        <f>ROUNDUP(DE37,0)</f>
        <v>1</v>
      </c>
      <c r="DG37" s="273">
        <f>MAX(DF37,DH37)</f>
        <v>4</v>
      </c>
      <c r="DH37" s="163">
        <v>4</v>
      </c>
      <c r="DI37" s="26">
        <f>($C$7^2*3.14/4)*DG37</f>
        <v>1133.54</v>
      </c>
      <c r="DJ37" s="513"/>
    </row>
    <row r="38" spans="1:114" x14ac:dyDescent="0.25">
      <c r="I38" s="454"/>
      <c r="J38" s="119" t="s">
        <v>197</v>
      </c>
      <c r="K38" s="99"/>
      <c r="L38" s="56"/>
      <c r="M38" s="56"/>
      <c r="N38" s="16"/>
      <c r="O38" s="82"/>
      <c r="P38" s="16"/>
      <c r="Q38" s="16"/>
      <c r="BU38" s="453" t="s">
        <v>399</v>
      </c>
      <c r="BV38" s="81"/>
      <c r="BW38" s="15"/>
      <c r="BX38" s="79"/>
      <c r="BY38" s="15"/>
      <c r="BZ38" s="79"/>
      <c r="CA38" s="126" t="s">
        <v>410</v>
      </c>
      <c r="CB38" s="271" t="s">
        <v>411</v>
      </c>
      <c r="CC38" s="80"/>
      <c r="CD38" s="126" t="s">
        <v>410</v>
      </c>
      <c r="CE38" s="126" t="s">
        <v>411</v>
      </c>
      <c r="CF38" s="79"/>
      <c r="CG38" s="15"/>
      <c r="CH38" s="79"/>
      <c r="CI38" s="15"/>
      <c r="CJ38" s="79"/>
      <c r="CK38" s="15"/>
      <c r="CL38" s="79"/>
      <c r="CM38" s="15"/>
      <c r="CN38" s="79"/>
      <c r="CO38" s="15"/>
      <c r="CP38" s="162"/>
      <c r="CQ38" s="79"/>
      <c r="CR38" s="162"/>
      <c r="CS38" s="15"/>
      <c r="CV38" s="453" t="s">
        <v>362</v>
      </c>
      <c r="CW38" s="81"/>
      <c r="CX38" s="15"/>
      <c r="CY38" s="79"/>
      <c r="CZ38" s="15"/>
      <c r="DA38" s="15"/>
      <c r="DB38" s="79"/>
      <c r="DC38" s="15"/>
      <c r="DD38" s="79"/>
      <c r="DE38" s="15"/>
      <c r="DF38" s="79"/>
      <c r="DG38" s="79"/>
      <c r="DH38" s="79"/>
      <c r="DI38" s="15"/>
      <c r="DJ38" s="513" t="s">
        <v>517</v>
      </c>
    </row>
    <row r="39" spans="1:114" x14ac:dyDescent="0.25">
      <c r="I39" s="454"/>
      <c r="J39" s="118" t="s">
        <v>194</v>
      </c>
      <c r="K39" s="106">
        <v>3.5</v>
      </c>
      <c r="L39" s="25">
        <f>'penulangan BALOK'!O21</f>
        <v>400</v>
      </c>
      <c r="M39" s="25">
        <f>'penulangan BALOK'!P21</f>
        <v>250</v>
      </c>
      <c r="N39" s="24">
        <f>'QE &amp; MOMEN'!AA32</f>
        <v>28.782833333333336</v>
      </c>
      <c r="O39" s="27">
        <f t="shared" si="0"/>
        <v>28.782833333333336</v>
      </c>
      <c r="P39" s="24">
        <f>'QE &amp; MOMEN'!AB32</f>
        <v>49.342000000000006</v>
      </c>
      <c r="Q39" s="24">
        <f>'QE &amp; MOMEN'!AC32</f>
        <v>49.342000000000006</v>
      </c>
      <c r="BU39" s="455"/>
      <c r="BV39" s="47">
        <f>$C$3*1000</f>
        <v>3500</v>
      </c>
      <c r="BW39" s="26">
        <v>200</v>
      </c>
      <c r="BX39" s="42">
        <v>200</v>
      </c>
      <c r="BY39" s="26">
        <f>BW39*BX39</f>
        <v>40000</v>
      </c>
      <c r="BZ39" s="42">
        <f>$C$14</f>
        <v>40</v>
      </c>
      <c r="CA39" s="24">
        <f>P67</f>
        <v>8.3559999999999999</v>
      </c>
      <c r="CB39" s="27">
        <f>Q49</f>
        <v>13.748999999999999</v>
      </c>
      <c r="CC39" s="24">
        <f>SUM(CA39:CB39)</f>
        <v>22.104999999999997</v>
      </c>
      <c r="CD39" s="27">
        <f>O67</f>
        <v>2.785333333333333</v>
      </c>
      <c r="CE39" s="24">
        <f>O49</f>
        <v>5.7287499999999989</v>
      </c>
      <c r="CF39" s="27">
        <f>SUM(CD39:CE39)</f>
        <v>8.5140833333333319</v>
      </c>
      <c r="CG39" s="24">
        <f>(CF39*1000000)/(CC39*1000)</f>
        <v>385.16549800196037</v>
      </c>
      <c r="CH39" s="42">
        <f>15+0.03*BX39</f>
        <v>21</v>
      </c>
      <c r="CI39" s="43">
        <f>BZ39/BX39</f>
        <v>0.2</v>
      </c>
      <c r="CJ39" s="28">
        <f>(CC39*1000)/($C$12*BY39*0.85*$C$9)</f>
        <v>4.0009049773755648E-2</v>
      </c>
      <c r="CK39" s="43">
        <f>((CC39*1000)/($C$12*BY39*0.85*$C$9))*(CG39/BX39)</f>
        <v>7.7050527903469071E-2</v>
      </c>
      <c r="CL39" s="42">
        <v>0.01</v>
      </c>
      <c r="CM39" s="26">
        <f>CL39*$C$11</f>
        <v>0.01</v>
      </c>
      <c r="CN39" s="42">
        <f>CM39*BW39*BX39</f>
        <v>400</v>
      </c>
      <c r="CO39" s="43">
        <f>CN39/($C$7^2*3.14/4)</f>
        <v>1.4115073133722675</v>
      </c>
      <c r="CP39" s="163">
        <f>ROUNDUP(CO39,0)</f>
        <v>2</v>
      </c>
      <c r="CQ39" s="273">
        <f>MAX(CP39,CR39)</f>
        <v>4</v>
      </c>
      <c r="CR39" s="163">
        <v>4</v>
      </c>
      <c r="CS39" s="26">
        <f>($C$7^2*3.14/4)*CQ39</f>
        <v>1133.54</v>
      </c>
      <c r="CV39" s="455"/>
      <c r="CW39" s="47">
        <f>$C$3*1000</f>
        <v>3500</v>
      </c>
      <c r="CX39" s="26">
        <v>300</v>
      </c>
      <c r="CY39" s="42">
        <v>250</v>
      </c>
      <c r="CZ39" s="26">
        <f>CX39*CY39</f>
        <v>75000</v>
      </c>
      <c r="DA39" s="26">
        <f>$C$13</f>
        <v>50</v>
      </c>
      <c r="DB39" s="42">
        <v>2.9000000000000001E-2</v>
      </c>
      <c r="DC39" s="26">
        <f>DB39*$C$11</f>
        <v>2.9000000000000001E-2</v>
      </c>
      <c r="DD39" s="42">
        <f>$AP$29</f>
        <v>2175.0000000000005</v>
      </c>
      <c r="DE39" s="43">
        <f>DD39/($C$7^2*3.14/4)</f>
        <v>7.6750710164617058</v>
      </c>
      <c r="DF39" s="28"/>
      <c r="DG39" s="42">
        <f>ROUNDUP(DE39,0)</f>
        <v>8</v>
      </c>
      <c r="DH39" s="42"/>
      <c r="DI39" s="26">
        <f>($C$7^2*3.14/4)*DG39</f>
        <v>2267.08</v>
      </c>
      <c r="DJ39" s="513"/>
    </row>
    <row r="40" spans="1:114" x14ac:dyDescent="0.25">
      <c r="I40" s="454"/>
      <c r="J40" s="119" t="s">
        <v>205</v>
      </c>
      <c r="K40" s="99"/>
      <c r="L40" s="56"/>
      <c r="M40" s="56"/>
      <c r="N40" s="59"/>
      <c r="O40" s="58"/>
      <c r="P40" s="59"/>
      <c r="Q40" s="59"/>
      <c r="CV40" s="453" t="s">
        <v>363</v>
      </c>
      <c r="CW40" s="81"/>
      <c r="CX40" s="15"/>
      <c r="CY40" s="79"/>
      <c r="CZ40" s="15"/>
      <c r="DA40" s="15"/>
      <c r="DB40" s="79"/>
      <c r="DC40" s="15"/>
      <c r="DD40" s="79"/>
      <c r="DE40" s="107"/>
      <c r="DF40" s="83"/>
      <c r="DG40" s="79"/>
      <c r="DH40" s="79"/>
      <c r="DI40" s="15"/>
      <c r="DJ40" s="513" t="s">
        <v>518</v>
      </c>
    </row>
    <row r="41" spans="1:114" x14ac:dyDescent="0.25">
      <c r="I41" s="455"/>
      <c r="J41" s="118" t="s">
        <v>194</v>
      </c>
      <c r="K41" s="106">
        <v>4</v>
      </c>
      <c r="L41" s="25">
        <f>'penulangan BALOK'!O23</f>
        <v>400</v>
      </c>
      <c r="M41" s="25">
        <f>'penulangan BALOK'!P23</f>
        <v>250</v>
      </c>
      <c r="N41" s="59">
        <f>'QE &amp; MOMEN'!BA22</f>
        <v>37.350223808593753</v>
      </c>
      <c r="O41" s="58">
        <f>'QE &amp; MOMEN'!BB22</f>
        <v>67.657157662760426</v>
      </c>
      <c r="P41" s="59">
        <f>'QE &amp; MOMEN'!BE22</f>
        <v>46.779532786458347</v>
      </c>
      <c r="Q41" s="59">
        <f>'QE &amp; MOMEN'!BF22</f>
        <v>71.63474971354168</v>
      </c>
      <c r="CV41" s="455"/>
      <c r="CW41" s="47">
        <f>$C$3*1000</f>
        <v>3500</v>
      </c>
      <c r="CX41" s="26">
        <v>300</v>
      </c>
      <c r="CY41" s="42">
        <v>250</v>
      </c>
      <c r="CZ41" s="26">
        <f>CX41*CY41</f>
        <v>75000</v>
      </c>
      <c r="DA41" s="26">
        <f>$C$13</f>
        <v>50</v>
      </c>
      <c r="DB41" s="42">
        <v>5.1999999999999998E-2</v>
      </c>
      <c r="DC41" s="26">
        <f>DB41*$C$11</f>
        <v>5.1999999999999998E-2</v>
      </c>
      <c r="DD41" s="42">
        <f>$AP$31</f>
        <v>3900</v>
      </c>
      <c r="DE41" s="43">
        <f>DD41/($C$7^2*3.14/4)</f>
        <v>13.762196305379607</v>
      </c>
      <c r="DF41" s="28"/>
      <c r="DG41" s="42">
        <f>ROUNDUP(DE41,0)</f>
        <v>14</v>
      </c>
      <c r="DH41" s="42"/>
      <c r="DI41" s="26">
        <f>($C$7^2*3.14/4)*DG41</f>
        <v>3967.39</v>
      </c>
      <c r="DJ41" s="513"/>
    </row>
    <row r="42" spans="1:114" x14ac:dyDescent="0.25">
      <c r="I42" s="453" t="s">
        <v>210</v>
      </c>
      <c r="J42" s="119" t="s">
        <v>211</v>
      </c>
      <c r="K42" s="99"/>
      <c r="L42" s="78"/>
      <c r="M42" s="78"/>
      <c r="N42" s="16"/>
      <c r="O42" s="82"/>
      <c r="P42" s="16"/>
      <c r="Q42" s="16"/>
      <c r="CV42" s="453" t="s">
        <v>501</v>
      </c>
      <c r="CW42" s="81"/>
      <c r="CX42" s="15"/>
      <c r="CY42" s="79"/>
      <c r="CZ42" s="15"/>
      <c r="DA42" s="15"/>
      <c r="DB42" s="79"/>
      <c r="DC42" s="15"/>
      <c r="DD42" s="79"/>
      <c r="DE42" s="15"/>
      <c r="DF42" s="79"/>
      <c r="DG42" s="79"/>
      <c r="DH42" s="79"/>
      <c r="DI42" s="15"/>
      <c r="DJ42" s="513" t="s">
        <v>518</v>
      </c>
    </row>
    <row r="43" spans="1:114" x14ac:dyDescent="0.25">
      <c r="I43" s="455"/>
      <c r="J43" s="118" t="s">
        <v>194</v>
      </c>
      <c r="K43" s="106">
        <v>2.5</v>
      </c>
      <c r="L43" s="25">
        <f>'penulangan BALOK'!O25</f>
        <v>250</v>
      </c>
      <c r="M43" s="25">
        <f>'penulangan BALOK'!P25</f>
        <v>150</v>
      </c>
      <c r="N43" s="24">
        <f>'QE &amp; MOMEN'!AA36</f>
        <v>4.7912499999999998</v>
      </c>
      <c r="O43" s="27">
        <f>N43</f>
        <v>4.7912499999999998</v>
      </c>
      <c r="P43" s="24">
        <f>'QE &amp; MOMEN'!AB36</f>
        <v>11.498999999999999</v>
      </c>
      <c r="Q43" s="24">
        <f>'QE &amp; MOMEN'!AC36</f>
        <v>11.498999999999999</v>
      </c>
      <c r="CV43" s="455"/>
      <c r="CW43" s="47">
        <f>$C$3*1000</f>
        <v>3500</v>
      </c>
      <c r="CX43" s="26">
        <v>300</v>
      </c>
      <c r="CY43" s="42">
        <v>250</v>
      </c>
      <c r="CZ43" s="26">
        <f>CX43*CY43</f>
        <v>75000</v>
      </c>
      <c r="DA43" s="26">
        <f>$C$13</f>
        <v>50</v>
      </c>
      <c r="DB43" s="42">
        <v>5.3999999999999999E-2</v>
      </c>
      <c r="DC43" s="26">
        <f>DB43*$C$11</f>
        <v>5.3999999999999999E-2</v>
      </c>
      <c r="DD43" s="42">
        <f>$BP$33</f>
        <v>4050</v>
      </c>
      <c r="DE43" s="43">
        <f>DD43/($C$7^2*3.14/4)</f>
        <v>14.291511547894208</v>
      </c>
      <c r="DF43" s="28"/>
      <c r="DG43" s="42">
        <f>ROUNDUP(DE43,0)</f>
        <v>15</v>
      </c>
      <c r="DH43" s="42"/>
      <c r="DI43" s="26">
        <f>($C$7^2*3.14/4)*DG43</f>
        <v>4250.7749999999996</v>
      </c>
      <c r="DJ43" s="513"/>
    </row>
    <row r="44" spans="1:114" x14ac:dyDescent="0.25">
      <c r="I44" s="453" t="s">
        <v>212</v>
      </c>
      <c r="J44" s="119" t="s">
        <v>197</v>
      </c>
      <c r="K44" s="99"/>
      <c r="L44" s="56"/>
      <c r="M44" s="56"/>
      <c r="N44" s="59"/>
      <c r="O44" s="58"/>
      <c r="P44" s="59"/>
      <c r="Q44" s="59"/>
      <c r="CV44" s="453" t="s">
        <v>398</v>
      </c>
      <c r="CW44" s="81"/>
      <c r="CX44" s="15"/>
      <c r="CY44" s="79"/>
      <c r="CZ44" s="15"/>
      <c r="DA44" s="15"/>
      <c r="DB44" s="79"/>
      <c r="DC44" s="15"/>
      <c r="DD44" s="79"/>
      <c r="DE44" s="15"/>
      <c r="DF44" s="162"/>
      <c r="DG44" s="79"/>
      <c r="DH44" s="162"/>
      <c r="DI44" s="15"/>
      <c r="DJ44" s="513" t="s">
        <v>521</v>
      </c>
    </row>
    <row r="45" spans="1:114" x14ac:dyDescent="0.25">
      <c r="I45" s="454"/>
      <c r="J45" s="118" t="s">
        <v>194</v>
      </c>
      <c r="K45" s="106">
        <v>3.5</v>
      </c>
      <c r="L45" s="25">
        <f>'penulangan BALOK'!O27</f>
        <v>400</v>
      </c>
      <c r="M45" s="25">
        <f>'penulangan BALOK'!P27</f>
        <v>250</v>
      </c>
      <c r="N45" s="24">
        <f>'QE &amp; MOMEN'!AA38</f>
        <v>21.404833333333332</v>
      </c>
      <c r="O45" s="27">
        <f>N45</f>
        <v>21.404833333333332</v>
      </c>
      <c r="P45" s="24">
        <f>'QE &amp; MOMEN'!AB38</f>
        <v>36.694000000000003</v>
      </c>
      <c r="Q45" s="24">
        <f>'QE &amp; MOMEN'!AC38</f>
        <v>36.694000000000003</v>
      </c>
      <c r="CV45" s="455"/>
      <c r="CW45" s="47">
        <f>$C$3*1000</f>
        <v>3500</v>
      </c>
      <c r="CX45" s="26">
        <v>200</v>
      </c>
      <c r="CY45" s="42">
        <v>200</v>
      </c>
      <c r="CZ45" s="26">
        <f>CX45*CY45</f>
        <v>40000</v>
      </c>
      <c r="DA45" s="26">
        <f>$C$14</f>
        <v>40</v>
      </c>
      <c r="DB45" s="42">
        <v>8.0000000000000002E-3</v>
      </c>
      <c r="DC45" s="26">
        <f>DB45*$C$11</f>
        <v>8.0000000000000002E-3</v>
      </c>
      <c r="DD45" s="42">
        <f>$CN$35</f>
        <v>320</v>
      </c>
      <c r="DE45" s="43">
        <f>DD45/($C$7^2*3.14/4)</f>
        <v>1.129205850697814</v>
      </c>
      <c r="DF45" s="163">
        <f>ROUNDUP(DE45,0)</f>
        <v>2</v>
      </c>
      <c r="DG45" s="273">
        <f>MAX(DF45,DH45)</f>
        <v>4</v>
      </c>
      <c r="DH45" s="163">
        <v>4</v>
      </c>
      <c r="DI45" s="26">
        <f>($C$7^2*3.14/4)*DG45</f>
        <v>1133.54</v>
      </c>
      <c r="DJ45" s="513"/>
    </row>
    <row r="46" spans="1:114" x14ac:dyDescent="0.25">
      <c r="I46" s="454"/>
      <c r="J46" s="119" t="s">
        <v>205</v>
      </c>
      <c r="K46" s="99"/>
      <c r="L46" s="78"/>
      <c r="M46" s="78"/>
      <c r="N46" s="59"/>
      <c r="O46" s="58"/>
      <c r="P46" s="59"/>
      <c r="Q46" s="59"/>
      <c r="CV46" s="453" t="s">
        <v>377</v>
      </c>
      <c r="CW46" s="81"/>
      <c r="CX46" s="15"/>
      <c r="CY46" s="79"/>
      <c r="CZ46" s="15"/>
      <c r="DA46" s="15"/>
      <c r="DB46" s="79"/>
      <c r="DC46" s="15"/>
      <c r="DD46" s="79"/>
      <c r="DE46" s="15"/>
      <c r="DF46" s="162"/>
      <c r="DG46" s="79"/>
      <c r="DH46" s="162"/>
      <c r="DI46" s="15"/>
      <c r="DJ46" s="513" t="s">
        <v>516</v>
      </c>
    </row>
    <row r="47" spans="1:114" x14ac:dyDescent="0.25">
      <c r="I47" s="454"/>
      <c r="J47" s="118" t="s">
        <v>194</v>
      </c>
      <c r="K47" s="106">
        <v>4</v>
      </c>
      <c r="L47" s="25">
        <f>'penulangan BALOK'!O29</f>
        <v>400</v>
      </c>
      <c r="M47" s="25">
        <f>'penulangan BALOK'!P29</f>
        <v>250</v>
      </c>
      <c r="N47" s="59">
        <f>'QE &amp; MOMEN'!BA24</f>
        <v>31.005343750000002</v>
      </c>
      <c r="O47" s="58">
        <f>'QE &amp; MOMEN'!BB24</f>
        <v>59.759197916666665</v>
      </c>
      <c r="P47" s="59">
        <f>'QE &amp; MOMEN'!BE24</f>
        <v>37.81766145833334</v>
      </c>
      <c r="Q47" s="59">
        <f>'QE &amp; MOMEN'!BF24</f>
        <v>69.928838541666664</v>
      </c>
      <c r="CV47" s="455"/>
      <c r="CW47" s="47">
        <f>$C$3*1000</f>
        <v>3500</v>
      </c>
      <c r="CX47" s="26">
        <v>200</v>
      </c>
      <c r="CY47" s="42">
        <v>250</v>
      </c>
      <c r="CZ47" s="26">
        <f>CX47*CY47</f>
        <v>50000</v>
      </c>
      <c r="DA47" s="26">
        <f>$C$13</f>
        <v>50</v>
      </c>
      <c r="DB47" s="42">
        <v>3.1E-2</v>
      </c>
      <c r="DC47" s="26">
        <f>DB47*$C$11</f>
        <v>3.1E-2</v>
      </c>
      <c r="DD47" s="42">
        <f>$CN$37</f>
        <v>1550</v>
      </c>
      <c r="DE47" s="43">
        <f>DD47/($C$7^2*3.14/4)</f>
        <v>5.4695908393175365</v>
      </c>
      <c r="DF47" s="163">
        <f>ROUNDUP(DE47,0)</f>
        <v>6</v>
      </c>
      <c r="DG47" s="273">
        <f>MAX(DF47,DH47)</f>
        <v>6</v>
      </c>
      <c r="DH47" s="163">
        <v>4</v>
      </c>
      <c r="DI47" s="26">
        <f>($C$7^2*3.14/4)*DG47</f>
        <v>1700.31</v>
      </c>
      <c r="DJ47" s="513"/>
    </row>
    <row r="48" spans="1:114" x14ac:dyDescent="0.25">
      <c r="I48" s="454"/>
      <c r="J48" s="119" t="s">
        <v>211</v>
      </c>
      <c r="K48" s="99"/>
      <c r="L48" s="56"/>
      <c r="M48" s="56"/>
      <c r="N48" s="16"/>
      <c r="O48" s="82"/>
      <c r="P48" s="16"/>
      <c r="Q48" s="16"/>
      <c r="CV48" s="453" t="s">
        <v>378</v>
      </c>
      <c r="CW48" s="81"/>
      <c r="CX48" s="15"/>
      <c r="CY48" s="79"/>
      <c r="CZ48" s="15"/>
      <c r="DA48" s="15"/>
      <c r="DB48" s="79"/>
      <c r="DC48" s="15"/>
      <c r="DD48" s="79"/>
      <c r="DE48" s="15"/>
      <c r="DF48" s="79"/>
      <c r="DG48" s="79"/>
      <c r="DH48" s="79"/>
      <c r="DI48" s="15"/>
      <c r="DJ48" s="513" t="s">
        <v>519</v>
      </c>
    </row>
    <row r="49" spans="9:114" x14ac:dyDescent="0.25">
      <c r="I49" s="455"/>
      <c r="J49" s="118" t="s">
        <v>194</v>
      </c>
      <c r="K49" s="106">
        <v>2.5</v>
      </c>
      <c r="L49" s="25">
        <f>'penulangan BALOK'!O31</f>
        <v>400</v>
      </c>
      <c r="M49" s="25">
        <f>'penulangan BALOK'!P31</f>
        <v>250</v>
      </c>
      <c r="N49" s="24">
        <f>'QE &amp; MOMEN'!AA42</f>
        <v>5.7287499999999989</v>
      </c>
      <c r="O49" s="27">
        <f>N49</f>
        <v>5.7287499999999989</v>
      </c>
      <c r="P49" s="24">
        <f>'QE &amp; MOMEN'!AB42</f>
        <v>13.748999999999999</v>
      </c>
      <c r="Q49" s="24">
        <f>'QE &amp; MOMEN'!AC42</f>
        <v>13.748999999999999</v>
      </c>
      <c r="CV49" s="455"/>
      <c r="CW49" s="47">
        <f>$C$3*1000</f>
        <v>3500</v>
      </c>
      <c r="CX49" s="26">
        <v>250</v>
      </c>
      <c r="CY49" s="42">
        <v>250</v>
      </c>
      <c r="CZ49" s="26">
        <f>CX49*CY49</f>
        <v>62500</v>
      </c>
      <c r="DA49" s="26">
        <f>$C$13</f>
        <v>50</v>
      </c>
      <c r="DB49" s="42">
        <v>4.4999999999999998E-2</v>
      </c>
      <c r="DC49" s="26">
        <f>DB49*$C$11</f>
        <v>4.4999999999999998E-2</v>
      </c>
      <c r="DD49" s="42">
        <f>$BP$35</f>
        <v>2812.5</v>
      </c>
      <c r="DE49" s="43">
        <f>DD49/($C$7^2*3.14/4)</f>
        <v>9.9246607971487553</v>
      </c>
      <c r="DF49" s="28"/>
      <c r="DG49" s="42">
        <f>ROUNDUP(DE49,0)</f>
        <v>10</v>
      </c>
      <c r="DH49" s="42"/>
      <c r="DI49" s="26">
        <f>($C$7^2*3.14/4)*DG49</f>
        <v>2833.85</v>
      </c>
      <c r="DJ49" s="513"/>
    </row>
    <row r="50" spans="9:114" x14ac:dyDescent="0.25">
      <c r="I50" s="453">
        <v>2</v>
      </c>
      <c r="J50" s="80" t="s">
        <v>214</v>
      </c>
      <c r="K50" s="99"/>
      <c r="L50" s="17"/>
      <c r="M50" s="17"/>
      <c r="N50" s="59"/>
      <c r="O50" s="58"/>
      <c r="P50" s="59"/>
      <c r="Q50" s="59"/>
      <c r="CV50" s="453" t="s">
        <v>391</v>
      </c>
      <c r="CW50" s="81"/>
      <c r="CX50" s="15"/>
      <c r="CY50" s="79"/>
      <c r="CZ50" s="15"/>
      <c r="DA50" s="15"/>
      <c r="DB50" s="79"/>
      <c r="DC50" s="15"/>
      <c r="DD50" s="79"/>
      <c r="DE50" s="15"/>
      <c r="DF50" s="79"/>
      <c r="DG50" s="79"/>
      <c r="DH50" s="79"/>
      <c r="DI50" s="15"/>
      <c r="DJ50" s="513" t="s">
        <v>519</v>
      </c>
    </row>
    <row r="51" spans="9:114" x14ac:dyDescent="0.25">
      <c r="I51" s="455"/>
      <c r="J51" s="44" t="s">
        <v>194</v>
      </c>
      <c r="K51" s="106">
        <v>3</v>
      </c>
      <c r="L51" s="25">
        <f>'penulangan BALOK'!O61</f>
        <v>250</v>
      </c>
      <c r="M51" s="25">
        <f>'penulangan BALOK'!P61</f>
        <v>150</v>
      </c>
      <c r="N51" s="59">
        <f>'QE &amp; MOMEN'!AA50</f>
        <v>4.3672500000000003</v>
      </c>
      <c r="O51" s="58">
        <f>N51</f>
        <v>4.3672500000000003</v>
      </c>
      <c r="P51" s="59">
        <f>'QE &amp; MOMEN'!AB50</f>
        <v>8.7345000000000006</v>
      </c>
      <c r="Q51" s="59">
        <f>'QE &amp; MOMEN'!AC50</f>
        <v>8.7345000000000006</v>
      </c>
      <c r="CV51" s="455"/>
      <c r="CW51" s="47">
        <f>$C$3*1000</f>
        <v>3500</v>
      </c>
      <c r="CX51" s="26">
        <v>250</v>
      </c>
      <c r="CY51" s="42">
        <v>250</v>
      </c>
      <c r="CZ51" s="26">
        <f>CX51*CY51</f>
        <v>62500</v>
      </c>
      <c r="DA51" s="26">
        <f>$C$13</f>
        <v>50</v>
      </c>
      <c r="DB51" s="42">
        <v>4.8000000000000001E-2</v>
      </c>
      <c r="DC51" s="26">
        <f>DB51*$C$11</f>
        <v>4.8000000000000001E-2</v>
      </c>
      <c r="DD51" s="42">
        <f>$BP$37</f>
        <v>3000</v>
      </c>
      <c r="DE51" s="43">
        <f>DD51/($C$7^2*3.14/4)</f>
        <v>10.586304850292006</v>
      </c>
      <c r="DF51" s="28"/>
      <c r="DG51" s="42">
        <f>ROUNDUP(DE51,0)</f>
        <v>11</v>
      </c>
      <c r="DH51" s="42"/>
      <c r="DI51" s="26">
        <f>($C$7^2*3.14/4)*DG51</f>
        <v>3117.2349999999997</v>
      </c>
      <c r="DJ51" s="513"/>
    </row>
    <row r="52" spans="9:114" x14ac:dyDescent="0.25">
      <c r="I52" s="453">
        <v>3</v>
      </c>
      <c r="J52" s="80" t="s">
        <v>214</v>
      </c>
      <c r="K52" s="99"/>
      <c r="L52" s="56"/>
      <c r="M52" s="56"/>
      <c r="N52" s="16"/>
      <c r="O52" s="82"/>
      <c r="P52" s="16"/>
      <c r="Q52" s="16"/>
      <c r="CV52" s="453" t="s">
        <v>399</v>
      </c>
      <c r="CW52" s="81"/>
      <c r="CX52" s="15"/>
      <c r="CY52" s="79"/>
      <c r="CZ52" s="15"/>
      <c r="DA52" s="15"/>
      <c r="DB52" s="79"/>
      <c r="DC52" s="15"/>
      <c r="DD52" s="79"/>
      <c r="DE52" s="15"/>
      <c r="DF52" s="162"/>
      <c r="DG52" s="79"/>
      <c r="DH52" s="162"/>
      <c r="DI52" s="15"/>
      <c r="DJ52" s="513" t="s">
        <v>521</v>
      </c>
    </row>
    <row r="53" spans="9:114" x14ac:dyDescent="0.25">
      <c r="I53" s="454"/>
      <c r="J53" s="44" t="s">
        <v>194</v>
      </c>
      <c r="K53" s="106">
        <v>3</v>
      </c>
      <c r="L53" s="25">
        <f>'penulangan BALOK'!O63</f>
        <v>300</v>
      </c>
      <c r="M53" s="25">
        <f>'penulangan BALOK'!P63</f>
        <v>200</v>
      </c>
      <c r="N53" s="24">
        <f>'QE &amp; MOMEN'!AA52</f>
        <v>17.628750000000004</v>
      </c>
      <c r="O53" s="27">
        <f>N53</f>
        <v>17.628750000000004</v>
      </c>
      <c r="P53" s="24">
        <f>'QE &amp; MOMEN'!AB52</f>
        <v>35.257500000000007</v>
      </c>
      <c r="Q53" s="24">
        <f>'QE &amp; MOMEN'!AC52</f>
        <v>35.257500000000007</v>
      </c>
      <c r="CV53" s="455"/>
      <c r="CW53" s="47">
        <f>$C$3*1000</f>
        <v>3500</v>
      </c>
      <c r="CX53" s="26">
        <v>200</v>
      </c>
      <c r="CY53" s="42">
        <v>200</v>
      </c>
      <c r="CZ53" s="26">
        <f>CX53*CY53</f>
        <v>40000</v>
      </c>
      <c r="DA53" s="26">
        <f>$C$14</f>
        <v>40</v>
      </c>
      <c r="DB53" s="42">
        <v>0.01</v>
      </c>
      <c r="DC53" s="26">
        <f>DB53*$C$11</f>
        <v>0.01</v>
      </c>
      <c r="DD53" s="42">
        <f>$CN$39</f>
        <v>400</v>
      </c>
      <c r="DE53" s="43">
        <f>DD53/($C$7^2*3.14/4)</f>
        <v>1.4115073133722675</v>
      </c>
      <c r="DF53" s="163">
        <f>ROUNDUP(DE53,0)</f>
        <v>2</v>
      </c>
      <c r="DG53" s="273">
        <f>MAX(DF53,DH53)</f>
        <v>4</v>
      </c>
      <c r="DH53" s="163">
        <v>4</v>
      </c>
      <c r="DI53" s="26">
        <f>($C$7^2*3.14/4)*DG53</f>
        <v>1133.54</v>
      </c>
      <c r="DJ53" s="513"/>
    </row>
    <row r="54" spans="9:114" x14ac:dyDescent="0.25">
      <c r="I54" s="454"/>
      <c r="J54" s="80" t="s">
        <v>217</v>
      </c>
      <c r="K54" s="99"/>
      <c r="L54" s="78"/>
      <c r="M54" s="56"/>
      <c r="N54" s="59"/>
      <c r="O54" s="58"/>
      <c r="P54" s="59"/>
      <c r="Q54" s="59"/>
    </row>
    <row r="55" spans="9:114" x14ac:dyDescent="0.25">
      <c r="I55" s="455"/>
      <c r="J55" s="44" t="s">
        <v>194</v>
      </c>
      <c r="K55" s="106">
        <v>3.5</v>
      </c>
      <c r="L55" s="25">
        <f>'penulangan BALOK'!O65</f>
        <v>300</v>
      </c>
      <c r="M55" s="25">
        <f>'penulangan BALOK'!P65</f>
        <v>200</v>
      </c>
      <c r="N55" s="59">
        <f>'QE &amp; MOMEN'!AA54</f>
        <v>20.228833333333334</v>
      </c>
      <c r="O55" s="58">
        <f>N55</f>
        <v>20.228833333333334</v>
      </c>
      <c r="P55" s="59">
        <f>'QE &amp; MOMEN'!AB54</f>
        <v>34.678000000000004</v>
      </c>
      <c r="Q55" s="59">
        <f>'QE &amp; MOMEN'!AC54</f>
        <v>34.678000000000004</v>
      </c>
    </row>
    <row r="56" spans="9:114" x14ac:dyDescent="0.25">
      <c r="I56" s="453">
        <v>4</v>
      </c>
      <c r="J56" s="80" t="s">
        <v>214</v>
      </c>
      <c r="K56" s="99"/>
      <c r="L56" s="78"/>
      <c r="M56" s="78"/>
      <c r="N56" s="16"/>
      <c r="O56" s="82"/>
      <c r="P56" s="16"/>
      <c r="Q56" s="16"/>
    </row>
    <row r="57" spans="9:114" x14ac:dyDescent="0.25">
      <c r="I57" s="454"/>
      <c r="J57" s="44" t="s">
        <v>194</v>
      </c>
      <c r="K57" s="106">
        <v>3</v>
      </c>
      <c r="L57" s="25">
        <f>'penulangan BALOK'!O67</f>
        <v>300</v>
      </c>
      <c r="M57" s="25">
        <f>'penulangan BALOK'!P67</f>
        <v>200</v>
      </c>
      <c r="N57" s="24">
        <f>'QE &amp; MOMEN'!BA50</f>
        <v>19.595529522509764</v>
      </c>
      <c r="O57" s="27">
        <f>'QE &amp; MOMEN'!BB50</f>
        <v>15.156563809306641</v>
      </c>
      <c r="P57" s="24">
        <f>'QE &amp; MOMEN'!BE50</f>
        <v>34.165054612734373</v>
      </c>
      <c r="Q57" s="24">
        <f>'QE &amp; MOMEN'!BF50</f>
        <v>23.919704137265629</v>
      </c>
    </row>
    <row r="58" spans="9:114" ht="15.75" customHeight="1" x14ac:dyDescent="0.25">
      <c r="I58" s="454"/>
      <c r="J58" s="80" t="s">
        <v>217</v>
      </c>
      <c r="K58" s="99"/>
      <c r="L58" s="56"/>
      <c r="M58" s="56"/>
      <c r="N58" s="59"/>
      <c r="O58" s="58"/>
      <c r="P58" s="59"/>
      <c r="Q58" s="59"/>
    </row>
    <row r="59" spans="9:114" x14ac:dyDescent="0.25">
      <c r="I59" s="455"/>
      <c r="J59" s="44" t="s">
        <v>194</v>
      </c>
      <c r="K59" s="106">
        <v>3.5</v>
      </c>
      <c r="L59" s="25">
        <f>'penulangan BALOK'!O69</f>
        <v>300</v>
      </c>
      <c r="M59" s="25">
        <f>'penulangan BALOK'!P69</f>
        <v>200</v>
      </c>
      <c r="N59" s="59">
        <f>'QE &amp; MOMEN'!AA58</f>
        <v>26.377166666666668</v>
      </c>
      <c r="O59" s="58">
        <f>N59</f>
        <v>26.377166666666668</v>
      </c>
      <c r="P59" s="59">
        <f>'QE &amp; MOMEN'!AB58</f>
        <v>45.218000000000004</v>
      </c>
      <c r="Q59" s="59">
        <f>'QE &amp; MOMEN'!AC58</f>
        <v>45.218000000000004</v>
      </c>
    </row>
    <row r="60" spans="9:114" x14ac:dyDescent="0.25">
      <c r="I60" s="453">
        <v>6</v>
      </c>
      <c r="J60" s="80" t="s">
        <v>217</v>
      </c>
      <c r="K60" s="99"/>
      <c r="L60" s="56"/>
      <c r="M60" s="56"/>
      <c r="N60" s="16"/>
      <c r="O60" s="82"/>
      <c r="P60" s="16"/>
      <c r="Q60" s="16"/>
    </row>
    <row r="61" spans="9:114" x14ac:dyDescent="0.25">
      <c r="I61" s="455"/>
      <c r="J61" s="44" t="s">
        <v>194</v>
      </c>
      <c r="K61" s="106">
        <v>3.5</v>
      </c>
      <c r="L61" s="25">
        <f>'penulangan BALOK'!O71</f>
        <v>300</v>
      </c>
      <c r="M61" s="25">
        <f>'penulangan BALOK'!P71</f>
        <v>200</v>
      </c>
      <c r="N61" s="24">
        <f>'QE &amp; MOMEN'!AA60</f>
        <v>22.534458333333337</v>
      </c>
      <c r="O61" s="27">
        <f>N61</f>
        <v>22.534458333333337</v>
      </c>
      <c r="P61" s="24">
        <f>'QE &amp; MOMEN'!AB60</f>
        <v>38.630500000000005</v>
      </c>
      <c r="Q61" s="24">
        <f>'QE &amp; MOMEN'!AC60</f>
        <v>38.630500000000005</v>
      </c>
    </row>
    <row r="62" spans="9:114" x14ac:dyDescent="0.25">
      <c r="I62" s="453">
        <v>7</v>
      </c>
      <c r="J62" s="80" t="s">
        <v>214</v>
      </c>
      <c r="K62" s="99"/>
      <c r="L62" s="56"/>
      <c r="M62" s="56"/>
      <c r="N62" s="59"/>
      <c r="O62" s="58"/>
      <c r="P62" s="59"/>
      <c r="Q62" s="59"/>
    </row>
    <row r="63" spans="9:114" x14ac:dyDescent="0.25">
      <c r="I63" s="454"/>
      <c r="J63" s="44" t="s">
        <v>194</v>
      </c>
      <c r="K63" s="106">
        <v>3</v>
      </c>
      <c r="L63" s="25">
        <f>'penulangan BALOK'!O73</f>
        <v>300</v>
      </c>
      <c r="M63" s="25">
        <f>'penulangan BALOK'!P73</f>
        <v>200</v>
      </c>
      <c r="N63" s="59">
        <f>'QE &amp; MOMEN'!BA52</f>
        <v>19.045745866845706</v>
      </c>
      <c r="O63" s="58">
        <f>'QE &amp; MOMEN'!BB52</f>
        <v>16.45629017317383</v>
      </c>
      <c r="P63" s="59">
        <f>'QE &amp; MOMEN'!BE52</f>
        <v>29.374041897890624</v>
      </c>
      <c r="Q63" s="59">
        <f>'QE &amp; MOMEN'!BF52</f>
        <v>28.213466852109381</v>
      </c>
    </row>
    <row r="64" spans="9:114" x14ac:dyDescent="0.25">
      <c r="I64" s="454"/>
      <c r="J64" s="80" t="s">
        <v>217</v>
      </c>
      <c r="K64" s="99"/>
      <c r="L64" s="78"/>
      <c r="M64" s="78"/>
      <c r="N64" s="16"/>
      <c r="O64" s="82"/>
      <c r="P64" s="16"/>
      <c r="Q64" s="16"/>
    </row>
    <row r="65" spans="9:17" x14ac:dyDescent="0.25">
      <c r="I65" s="455"/>
      <c r="J65" s="44" t="s">
        <v>194</v>
      </c>
      <c r="K65" s="106">
        <v>3.5</v>
      </c>
      <c r="L65" s="25">
        <f>'penulangan BALOK'!O75</f>
        <v>300</v>
      </c>
      <c r="M65" s="25">
        <f>'penulangan BALOK'!P75</f>
        <v>200</v>
      </c>
      <c r="N65" s="24">
        <f>'QE &amp; MOMEN'!BA54</f>
        <v>20.736518586005829</v>
      </c>
      <c r="O65" s="27">
        <f>'QE &amp; MOMEN'!BB54</f>
        <v>16.032224368318758</v>
      </c>
      <c r="P65" s="24">
        <f>'QE &amp; MOMEN'!BE54</f>
        <v>31.538584062196303</v>
      </c>
      <c r="Q65" s="24">
        <f>'QE &amp; MOMEN'!BF54</f>
        <v>21.641415937803696</v>
      </c>
    </row>
    <row r="66" spans="9:17" x14ac:dyDescent="0.25">
      <c r="I66" s="453">
        <v>8</v>
      </c>
      <c r="J66" s="80" t="s">
        <v>220</v>
      </c>
      <c r="K66" s="99"/>
      <c r="L66" s="56"/>
      <c r="M66" s="56"/>
      <c r="N66" s="59"/>
      <c r="O66" s="58"/>
      <c r="P66" s="59"/>
      <c r="Q66" s="59"/>
    </row>
    <row r="67" spans="9:17" x14ac:dyDescent="0.25">
      <c r="I67" s="455"/>
      <c r="J67" s="44" t="s">
        <v>194</v>
      </c>
      <c r="K67" s="106">
        <v>2</v>
      </c>
      <c r="L67" s="25">
        <f>'penulangan BALOK'!O77</f>
        <v>250</v>
      </c>
      <c r="M67" s="25">
        <f>'penulangan BALOK'!P77</f>
        <v>150</v>
      </c>
      <c r="N67" s="24">
        <f>'QE &amp; MOMEN'!AA66</f>
        <v>2.785333333333333</v>
      </c>
      <c r="O67" s="203">
        <f>N67</f>
        <v>2.785333333333333</v>
      </c>
      <c r="P67" s="24">
        <f>'QE &amp; MOMEN'!AB66</f>
        <v>8.3559999999999999</v>
      </c>
      <c r="Q67" s="24">
        <f>'QE &amp; MOMEN'!AC66</f>
        <v>8.3559999999999999</v>
      </c>
    </row>
  </sheetData>
  <mergeCells count="88">
    <mergeCell ref="DJ50:DJ51"/>
    <mergeCell ref="DJ52:DJ53"/>
    <mergeCell ref="CV44:CV45"/>
    <mergeCell ref="CV46:CV47"/>
    <mergeCell ref="CV52:CV53"/>
    <mergeCell ref="DJ44:DJ45"/>
    <mergeCell ref="DJ46:DJ47"/>
    <mergeCell ref="DJ48:DJ49"/>
    <mergeCell ref="CV48:CV49"/>
    <mergeCell ref="CV50:CV51"/>
    <mergeCell ref="DF26:DH27"/>
    <mergeCell ref="DJ26:DJ27"/>
    <mergeCell ref="DJ28:DJ29"/>
    <mergeCell ref="DJ30:DJ31"/>
    <mergeCell ref="DJ32:DJ33"/>
    <mergeCell ref="DJ34:DJ35"/>
    <mergeCell ref="DJ36:DJ37"/>
    <mergeCell ref="DJ38:DJ39"/>
    <mergeCell ref="DJ40:DJ41"/>
    <mergeCell ref="DJ42:DJ43"/>
    <mergeCell ref="DC26:DC27"/>
    <mergeCell ref="DE26:DE27"/>
    <mergeCell ref="CV30:CV31"/>
    <mergeCell ref="CV32:CV33"/>
    <mergeCell ref="CV26:CV27"/>
    <mergeCell ref="DB26:DB27"/>
    <mergeCell ref="CV42:CV43"/>
    <mergeCell ref="CO26:CO27"/>
    <mergeCell ref="CA26:CB26"/>
    <mergeCell ref="CA27:CB27"/>
    <mergeCell ref="CM26:CM27"/>
    <mergeCell ref="CD26:CE26"/>
    <mergeCell ref="CD27:CE27"/>
    <mergeCell ref="CI26:CK26"/>
    <mergeCell ref="CV28:CV29"/>
    <mergeCell ref="CV34:CV35"/>
    <mergeCell ref="CV36:CV37"/>
    <mergeCell ref="BU32:BU33"/>
    <mergeCell ref="BU34:BU35"/>
    <mergeCell ref="BQ26:BQ27"/>
    <mergeCell ref="CV38:CV39"/>
    <mergeCell ref="CV40:CV41"/>
    <mergeCell ref="BU36:BU37"/>
    <mergeCell ref="BU38:BU39"/>
    <mergeCell ref="BU28:BU29"/>
    <mergeCell ref="BU30:BU31"/>
    <mergeCell ref="CP26:CR27"/>
    <mergeCell ref="AQ26:AQ27"/>
    <mergeCell ref="BE26:BG26"/>
    <mergeCell ref="BE27:BG27"/>
    <mergeCell ref="AU26:AU27"/>
    <mergeCell ref="CL26:CL27"/>
    <mergeCell ref="BU26:BU27"/>
    <mergeCell ref="BR26:BR27"/>
    <mergeCell ref="BK26:BM26"/>
    <mergeCell ref="BN26:BN27"/>
    <mergeCell ref="BO26:BO27"/>
    <mergeCell ref="AU28:AU29"/>
    <mergeCell ref="AU30:AU31"/>
    <mergeCell ref="BA26:BC26"/>
    <mergeCell ref="BA27:BC27"/>
    <mergeCell ref="AR26:AR27"/>
    <mergeCell ref="AU32:AU33"/>
    <mergeCell ref="AU34:AU35"/>
    <mergeCell ref="I66:I67"/>
    <mergeCell ref="I44:I49"/>
    <mergeCell ref="I50:I51"/>
    <mergeCell ref="I52:I55"/>
    <mergeCell ref="I56:I59"/>
    <mergeCell ref="I60:I61"/>
    <mergeCell ref="I62:I65"/>
    <mergeCell ref="I42:I43"/>
    <mergeCell ref="I28:I33"/>
    <mergeCell ref="I34:I35"/>
    <mergeCell ref="I36:I41"/>
    <mergeCell ref="S30:S31"/>
    <mergeCell ref="S28:S29"/>
    <mergeCell ref="AU36:AU37"/>
    <mergeCell ref="I26:K26"/>
    <mergeCell ref="I27:K27"/>
    <mergeCell ref="AK26:AM26"/>
    <mergeCell ref="AN26:AN27"/>
    <mergeCell ref="AO26:AO27"/>
    <mergeCell ref="Y26:AB26"/>
    <mergeCell ref="AD26:AG26"/>
    <mergeCell ref="S26:S27"/>
    <mergeCell ref="Y27:AB27"/>
    <mergeCell ref="AD27:AG27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PLAT</vt:lpstr>
      <vt:lpstr>Sheet1</vt:lpstr>
      <vt:lpstr>QE &amp; MOMEN</vt:lpstr>
      <vt:lpstr>penulangan BALOK</vt:lpstr>
      <vt:lpstr>Kolom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2021-10-11T08:37:52Z</dcterms:created>
  <dcterms:modified xsi:type="dcterms:W3CDTF">2023-02-20T14:13:31Z</dcterms:modified>
</cp:coreProperties>
</file>